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V:\10 - DIVULGAÇÃO DE RESULTADOS\03 - RESULTADOS TRIMESTRAIS\2023\4T23\06 - PLANILHAS E SITE\02 - PLANILHA INTERATIVA\"/>
    </mc:Choice>
  </mc:AlternateContent>
  <xr:revisionPtr revIDLastSave="0" documentId="13_ncr:1_{31C3BE31-FC56-4061-9F7F-6A1DE091D905}" xr6:coauthVersionLast="47" xr6:coauthVersionMax="47" xr10:uidLastSave="{00000000-0000-0000-0000-000000000000}"/>
  <bookViews>
    <workbookView xWindow="28680" yWindow="-120" windowWidth="29040" windowHeight="15720" tabRatio="893" activeTab="7" xr2:uid="{00000000-000D-0000-FFFF-FFFF00000000}"/>
  </bookViews>
  <sheets>
    <sheet name="Índice" sheetId="83" r:id="rId1"/>
    <sheet name="DRE " sheetId="73" r:id="rId2"/>
    <sheet name="Balanço Patrimonial" sheetId="74" r:id="rId3"/>
    <sheet name="Endividamento " sheetId="80" r:id="rId4"/>
    <sheet name="Investimentos" sheetId="77" r:id="rId5"/>
    <sheet name="Dados Oper " sheetId="78" r:id="rId6"/>
    <sheet name="Breakdown Categoria" sheetId="79" r:id="rId7"/>
    <sheet name="Dividendos" sheetId="8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A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QDA1">#REF!</definedName>
    <definedName name="_QDA10">#REF!</definedName>
    <definedName name="_QDA2">#REF!</definedName>
    <definedName name="_QDA3">#REF!</definedName>
    <definedName name="_QDA4">#REF!</definedName>
    <definedName name="_QDA5">#REF!</definedName>
    <definedName name="_QDA6">#REF!</definedName>
    <definedName name="_QDA7">#REF!</definedName>
    <definedName name="_QDA8">#REF!</definedName>
    <definedName name="_QDA9">#REF!</definedName>
    <definedName name="_Sort" hidden="1">#REF!</definedName>
    <definedName name="ALF">#REF!</definedName>
    <definedName name="ANUAL">#REF!</definedName>
    <definedName name="AS2DocOpenMode" hidden="1">"AS2DocumentEdit"</definedName>
    <definedName name="COD">#REF!</definedName>
    <definedName name="CONT">#REF!</definedName>
    <definedName name="CONTAS">#REF!</definedName>
    <definedName name="DEZ">#REF!</definedName>
    <definedName name="ECO">#REF!</definedName>
    <definedName name="ECONO">#REF!</definedName>
    <definedName name="ECORES">#REF!</definedName>
    <definedName name="ESG">#REF!</definedName>
    <definedName name="FAT">#REF!</definedName>
    <definedName name="GERAL">#REF!</definedName>
    <definedName name="GRCT">#REF!</definedName>
    <definedName name="GRND">#REF!</definedName>
    <definedName name="GRNT">#REF!</definedName>
    <definedName name="GROE">#REF!</definedName>
    <definedName name="GRSD">#REF!</definedName>
    <definedName name="GRSL">#REF!</definedName>
    <definedName name="GRVA">#REF!</definedName>
    <definedName name="HISTOGRAMA_PARA_EXPORTAÇÃO_FINAL_ÁGUA">#REF!</definedName>
    <definedName name="JUNM">#REF!</definedName>
    <definedName name="JUNT">#REF!</definedName>
    <definedName name="LIG">#REF!</definedName>
    <definedName name="LIGE">#REF!</definedName>
    <definedName name="LIGHID">#REF!</definedName>
    <definedName name="LIGRES">#REF!</definedName>
    <definedName name="OUT">#REF!</definedName>
    <definedName name="POS">#REF!</definedName>
    <definedName name="QDA">#REF!</definedName>
    <definedName name="QRDCTOTAGUA">#REF!</definedName>
    <definedName name="QRDCTOTESG">#REF!</definedName>
    <definedName name="RMBH">#REF!</definedName>
    <definedName name="RRRRRRRRRR">#REF!</definedName>
    <definedName name="SILVERIO">#REF!</definedName>
    <definedName name="SOMA">#REF!</definedName>
    <definedName name="TAR">#REF!</definedName>
    <definedName name="TESTE">#REF!</definedName>
    <definedName name="TIT">#REF!</definedName>
    <definedName name="TOT">#REF!</definedName>
    <definedName name="TOTAL">#REF!</definedName>
    <definedName name="VOLFAT">#REF!</definedName>
    <definedName name="VOLMED">#REF!</definedName>
  </definedNames>
  <calcPr calcId="191029"/>
  <customWorkbookViews>
    <customWorkbookView name="Osvaldo Rodrigues - Modo de exibição pessoal" guid="{2ACED1FF-A6F4-4CB5-BD33-ACF6007F2091}" mergeInterval="0" personalView="1" maximized="1" xWindow="1" yWindow="1" windowWidth="1276" windowHeight="804" tabRatio="872" activeSheetId="9"/>
    <customWorkbookView name="itautec10 - Modo de exibição pessoal" guid="{B89D8E69-5934-4CAB-A915-AE4CD1036002}" mergeInterval="0" personalView="1" maximized="1" xWindow="-8" yWindow="-8" windowWidth="1616" windowHeight="876" tabRatio="93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82" l="1"/>
  <c r="D15" i="82"/>
  <c r="E6" i="82"/>
  <c r="D6" i="82"/>
  <c r="E37" i="82"/>
  <c r="D37" i="82"/>
  <c r="D29" i="82"/>
  <c r="E29" i="82"/>
  <c r="C203" i="80" l="1"/>
  <c r="D203" i="80"/>
  <c r="E203" i="80"/>
  <c r="F203" i="80"/>
  <c r="G203" i="80"/>
  <c r="H203" i="80"/>
  <c r="I203" i="80"/>
  <c r="J203" i="80"/>
  <c r="K203" i="80"/>
  <c r="L203" i="80"/>
  <c r="M203" i="80"/>
  <c r="J199" i="80"/>
  <c r="K199" i="80"/>
  <c r="L199" i="80"/>
  <c r="M199" i="80"/>
  <c r="N199" i="80"/>
  <c r="O199" i="80"/>
  <c r="P199" i="80"/>
  <c r="Q199" i="80"/>
  <c r="R199" i="80"/>
  <c r="S199" i="80"/>
  <c r="T199" i="80"/>
  <c r="U199" i="80"/>
  <c r="V199" i="80"/>
  <c r="W199" i="80"/>
  <c r="X199" i="80"/>
  <c r="Y199" i="80"/>
  <c r="Z199" i="80"/>
  <c r="AA199" i="80"/>
  <c r="AB199" i="80"/>
  <c r="AC199" i="80"/>
  <c r="AD199" i="80"/>
  <c r="AE199" i="80"/>
  <c r="AF199" i="80"/>
  <c r="AG199" i="80"/>
  <c r="AH199" i="80"/>
  <c r="AI199" i="80"/>
  <c r="AJ199" i="80"/>
  <c r="AK199" i="80"/>
  <c r="AL199" i="80"/>
  <c r="AM199" i="80"/>
  <c r="AN199" i="80"/>
  <c r="AO199" i="80"/>
  <c r="AP199" i="80"/>
  <c r="AQ199" i="80"/>
  <c r="AR199" i="80"/>
  <c r="AS199" i="80"/>
  <c r="AT199" i="80"/>
  <c r="AU199" i="80"/>
  <c r="AV199" i="80"/>
  <c r="AW199" i="80"/>
  <c r="AX199" i="80"/>
  <c r="AY199" i="80"/>
  <c r="AZ199" i="80"/>
  <c r="BA199" i="80"/>
  <c r="D199" i="80"/>
  <c r="E199" i="80"/>
  <c r="F199" i="80"/>
  <c r="G199" i="80"/>
  <c r="H199" i="80"/>
  <c r="I199" i="80"/>
  <c r="C199" i="80"/>
  <c r="B190" i="80"/>
  <c r="B188" i="80"/>
  <c r="B199" i="80" l="1"/>
  <c r="B203" i="80" s="1"/>
  <c r="B85" i="73"/>
  <c r="B94" i="73"/>
  <c r="B56" i="73"/>
  <c r="B35" i="79"/>
  <c r="B53" i="79"/>
  <c r="B44" i="79"/>
  <c r="B27" i="79"/>
  <c r="B18" i="79"/>
  <c r="B10" i="79"/>
  <c r="B10" i="73" l="1"/>
  <c r="B14" i="73"/>
  <c r="B86" i="74" l="1"/>
  <c r="B87" i="74" s="1"/>
  <c r="B75" i="74"/>
  <c r="B57" i="74"/>
  <c r="B34" i="74"/>
  <c r="B16" i="74"/>
  <c r="B28" i="78" l="1"/>
  <c r="B26" i="78"/>
  <c r="B25" i="78"/>
  <c r="B23" i="78"/>
  <c r="B22" i="78"/>
  <c r="B21" i="78"/>
  <c r="B20" i="78"/>
  <c r="B18" i="78"/>
  <c r="B16" i="78"/>
  <c r="B15" i="78"/>
  <c r="B12" i="78"/>
  <c r="B10" i="78"/>
  <c r="B9" i="78"/>
  <c r="B7" i="78"/>
  <c r="B6" i="78"/>
  <c r="B4" i="78"/>
  <c r="B3" i="78"/>
  <c r="C75" i="74" l="1"/>
  <c r="D75" i="74"/>
  <c r="C86" i="74"/>
  <c r="D86" i="74"/>
  <c r="C34" i="74"/>
  <c r="D34" i="74"/>
  <c r="D36" i="74" s="1"/>
  <c r="V98" i="73"/>
  <c r="W98" i="73"/>
  <c r="X98" i="73"/>
  <c r="Y98" i="73"/>
  <c r="Z98" i="73"/>
  <c r="AA98" i="73"/>
  <c r="AB98" i="73"/>
  <c r="AC98" i="73"/>
  <c r="AD98" i="73"/>
  <c r="AE98" i="73"/>
  <c r="AF98" i="73"/>
  <c r="AG98" i="73"/>
  <c r="AH98" i="73"/>
  <c r="AI98" i="73"/>
  <c r="AJ98" i="73"/>
  <c r="AK98" i="73"/>
  <c r="AL98" i="73"/>
  <c r="AM98" i="73"/>
  <c r="AN98" i="73"/>
  <c r="AO98" i="73"/>
  <c r="AP98" i="73"/>
  <c r="AQ98" i="73"/>
  <c r="AR98" i="73"/>
  <c r="AS98" i="73"/>
  <c r="AT98" i="73"/>
  <c r="AU98" i="73"/>
  <c r="AV98" i="73"/>
  <c r="AW98" i="73"/>
  <c r="AX98" i="73"/>
  <c r="AY98" i="73"/>
  <c r="AZ98" i="73"/>
  <c r="BA98" i="73"/>
  <c r="V99" i="73"/>
  <c r="W99" i="73"/>
  <c r="X99" i="73"/>
  <c r="Y99" i="73"/>
  <c r="Z99" i="73"/>
  <c r="AA99" i="73"/>
  <c r="AB99" i="73"/>
  <c r="AC99" i="73"/>
  <c r="AD99" i="73"/>
  <c r="AE99" i="73"/>
  <c r="AF99" i="73"/>
  <c r="AG99" i="73"/>
  <c r="AH99" i="73"/>
  <c r="AI99" i="73"/>
  <c r="AJ99" i="73"/>
  <c r="AK99" i="73"/>
  <c r="AL99" i="73"/>
  <c r="AM99" i="73"/>
  <c r="AN99" i="73"/>
  <c r="AO99" i="73"/>
  <c r="AP99" i="73"/>
  <c r="AQ99" i="73"/>
  <c r="AR99" i="73"/>
  <c r="AS99" i="73"/>
  <c r="AT99" i="73"/>
  <c r="AU99" i="73"/>
  <c r="AV99" i="73"/>
  <c r="AW99" i="73"/>
  <c r="AX99" i="73"/>
  <c r="AY99" i="73"/>
  <c r="AZ99" i="73"/>
  <c r="BA99" i="73"/>
  <c r="D36" i="73" l="1"/>
  <c r="D98" i="73" s="1"/>
  <c r="E36" i="73"/>
  <c r="E98" i="73" s="1"/>
  <c r="F36" i="73"/>
  <c r="F98" i="73" s="1"/>
  <c r="G36" i="73"/>
  <c r="G98" i="73" s="1"/>
  <c r="H36" i="73"/>
  <c r="H98" i="73" s="1"/>
  <c r="I36" i="73"/>
  <c r="I98" i="73" s="1"/>
  <c r="J36" i="73"/>
  <c r="J98" i="73" s="1"/>
  <c r="K36" i="73"/>
  <c r="K98" i="73" s="1"/>
  <c r="L36" i="73"/>
  <c r="L98" i="73" s="1"/>
  <c r="M36" i="73"/>
  <c r="M98" i="73" s="1"/>
  <c r="N36" i="73"/>
  <c r="N98" i="73" s="1"/>
  <c r="O36" i="73"/>
  <c r="O98" i="73" s="1"/>
  <c r="P36" i="73"/>
  <c r="P98" i="73" s="1"/>
  <c r="Q36" i="73"/>
  <c r="Q98" i="73" s="1"/>
  <c r="R36" i="73"/>
  <c r="R98" i="73" s="1"/>
  <c r="S36" i="73"/>
  <c r="S98" i="73" s="1"/>
  <c r="T36" i="73"/>
  <c r="T98" i="73" s="1"/>
  <c r="U36" i="73"/>
  <c r="U98" i="73" s="1"/>
  <c r="D37" i="73"/>
  <c r="D99" i="73" s="1"/>
  <c r="E37" i="73"/>
  <c r="E99" i="73" s="1"/>
  <c r="F37" i="73"/>
  <c r="F99" i="73" s="1"/>
  <c r="G37" i="73"/>
  <c r="G99" i="73" s="1"/>
  <c r="H37" i="73"/>
  <c r="H99" i="73" s="1"/>
  <c r="I37" i="73"/>
  <c r="I99" i="73" s="1"/>
  <c r="J37" i="73"/>
  <c r="J99" i="73" s="1"/>
  <c r="K37" i="73"/>
  <c r="K99" i="73" s="1"/>
  <c r="L37" i="73"/>
  <c r="L99" i="73" s="1"/>
  <c r="M37" i="73"/>
  <c r="M99" i="73" s="1"/>
  <c r="N37" i="73"/>
  <c r="N99" i="73" s="1"/>
  <c r="O37" i="73"/>
  <c r="O99" i="73" s="1"/>
  <c r="P37" i="73"/>
  <c r="P99" i="73" s="1"/>
  <c r="Q37" i="73"/>
  <c r="Q99" i="73" s="1"/>
  <c r="R37" i="73"/>
  <c r="R99" i="73" s="1"/>
  <c r="S37" i="73"/>
  <c r="S99" i="73" s="1"/>
  <c r="T37" i="73"/>
  <c r="T99" i="73" s="1"/>
  <c r="U37" i="73"/>
  <c r="U99" i="73" s="1"/>
  <c r="C37" i="73"/>
  <c r="C99" i="73" s="1"/>
  <c r="C36" i="73"/>
  <c r="C98" i="73" s="1"/>
  <c r="C94" i="73"/>
  <c r="D94" i="73"/>
  <c r="B96" i="73"/>
  <c r="C85" i="73"/>
  <c r="D85" i="73"/>
  <c r="B68" i="73"/>
  <c r="C56" i="73"/>
  <c r="C68" i="73" s="1"/>
  <c r="D56" i="73"/>
  <c r="D68" i="73" s="1"/>
  <c r="C49" i="73"/>
  <c r="D49" i="73"/>
  <c r="B46" i="73"/>
  <c r="B47" i="73"/>
  <c r="B45" i="73"/>
  <c r="B44" i="73"/>
  <c r="B99" i="73"/>
  <c r="B98" i="73"/>
  <c r="B75" i="73"/>
  <c r="B52" i="73"/>
  <c r="B51" i="73"/>
  <c r="C96" i="73" l="1"/>
  <c r="C101" i="73" s="1"/>
  <c r="D96" i="73"/>
  <c r="D101" i="73" s="1"/>
  <c r="B32" i="73"/>
  <c r="B16" i="73"/>
  <c r="B49" i="73"/>
  <c r="B101" i="73" s="1"/>
  <c r="B26" i="73"/>
  <c r="B27" i="73" l="1"/>
  <c r="B34" i="73"/>
  <c r="B39" i="73" s="1"/>
  <c r="B11" i="77"/>
  <c r="B17" i="77" s="1"/>
  <c r="R85" i="73"/>
  <c r="E56" i="73" l="1"/>
  <c r="F56" i="73"/>
  <c r="H56" i="73"/>
  <c r="J56" i="73"/>
  <c r="L56" i="73"/>
  <c r="M56" i="73"/>
  <c r="N56" i="73"/>
  <c r="O56" i="73"/>
  <c r="P56" i="73"/>
  <c r="Q56" i="73"/>
  <c r="R56" i="73"/>
  <c r="S56" i="73"/>
  <c r="Y56" i="73"/>
  <c r="Z56" i="73"/>
  <c r="AA56" i="73"/>
  <c r="AB56" i="73"/>
  <c r="AC56" i="73"/>
  <c r="AD56" i="73"/>
  <c r="AE56" i="73"/>
  <c r="AF56" i="73"/>
  <c r="AG56" i="73"/>
  <c r="AH56" i="73"/>
  <c r="AI56" i="73"/>
  <c r="AJ56" i="73"/>
  <c r="AK56" i="73"/>
  <c r="AL56" i="73"/>
  <c r="AM56" i="73"/>
  <c r="AN56" i="73"/>
  <c r="AO56" i="73"/>
  <c r="AP56" i="73"/>
  <c r="AQ56" i="73"/>
  <c r="AR56" i="73"/>
  <c r="AS56" i="73"/>
  <c r="AT56" i="73"/>
  <c r="AU56" i="73"/>
  <c r="AV56" i="73"/>
  <c r="AW56" i="73"/>
  <c r="AX56" i="73"/>
  <c r="AY56" i="73"/>
  <c r="AZ56" i="73"/>
  <c r="BA56" i="73"/>
  <c r="D32" i="73" l="1"/>
  <c r="E32" i="73"/>
  <c r="F32" i="73"/>
  <c r="G32" i="73"/>
  <c r="H32" i="73"/>
  <c r="J32" i="73"/>
  <c r="K32" i="73"/>
  <c r="L32" i="73"/>
  <c r="M32" i="73"/>
  <c r="N32" i="73"/>
  <c r="O32" i="73"/>
  <c r="P32" i="73"/>
  <c r="Q32" i="73"/>
  <c r="R32" i="73"/>
  <c r="S32" i="73"/>
  <c r="T32" i="73"/>
  <c r="U32" i="73"/>
  <c r="V32" i="73"/>
  <c r="W32" i="73"/>
  <c r="X32" i="73"/>
  <c r="Y32" i="73"/>
  <c r="Z32" i="73"/>
  <c r="AA32" i="73"/>
  <c r="AB32" i="73"/>
  <c r="AC32" i="73"/>
  <c r="AD32" i="73"/>
  <c r="AE32" i="73"/>
  <c r="AF32" i="73"/>
  <c r="AG32" i="73"/>
  <c r="AH32" i="73"/>
  <c r="AI32" i="73"/>
  <c r="AJ32" i="73"/>
  <c r="AK32" i="73"/>
  <c r="AL32" i="73"/>
  <c r="AM32" i="73"/>
  <c r="AN32" i="73"/>
  <c r="AO32" i="73"/>
  <c r="AP32" i="73"/>
  <c r="AQ32" i="73"/>
  <c r="AR32" i="73"/>
  <c r="AS32" i="73"/>
  <c r="AT32" i="73"/>
  <c r="AU32" i="73"/>
  <c r="AV32" i="73"/>
  <c r="AW32" i="73"/>
  <c r="AX32" i="73"/>
  <c r="AY32" i="73"/>
  <c r="AZ32" i="73"/>
  <c r="BA32" i="73"/>
  <c r="D14" i="73"/>
  <c r="E14" i="73"/>
  <c r="F14" i="73"/>
  <c r="G14" i="73"/>
  <c r="H14" i="73"/>
  <c r="J14" i="73"/>
  <c r="K14" i="73"/>
  <c r="L14" i="73"/>
  <c r="M14" i="73"/>
  <c r="N14" i="73"/>
  <c r="O14" i="73"/>
  <c r="P14" i="73"/>
  <c r="Q14" i="73"/>
  <c r="R14" i="73"/>
  <c r="S14" i="73"/>
  <c r="T14" i="73"/>
  <c r="U14" i="73"/>
  <c r="V14" i="73"/>
  <c r="W14" i="73"/>
  <c r="X14" i="73"/>
  <c r="Y14" i="73"/>
  <c r="Z14" i="73"/>
  <c r="AA14" i="73"/>
  <c r="AB14" i="73"/>
  <c r="AC14" i="73"/>
  <c r="AD14" i="73"/>
  <c r="AE14" i="73"/>
  <c r="AF14" i="73"/>
  <c r="AG14" i="73"/>
  <c r="AH14" i="73"/>
  <c r="AI14" i="73"/>
  <c r="AJ14" i="73"/>
  <c r="AK14" i="73"/>
  <c r="AL14" i="73"/>
  <c r="AM14" i="73"/>
  <c r="AN14" i="73"/>
  <c r="AO14" i="73"/>
  <c r="AP14" i="73"/>
  <c r="AQ14" i="73"/>
  <c r="AR14" i="73"/>
  <c r="AS14" i="73"/>
  <c r="AT14" i="73"/>
  <c r="AU14" i="73"/>
  <c r="AV14" i="73"/>
  <c r="AW14" i="73"/>
  <c r="AX14" i="73"/>
  <c r="AY14" i="73"/>
  <c r="AZ14" i="73"/>
  <c r="BA14" i="73"/>
  <c r="C14" i="73"/>
  <c r="D10" i="73"/>
  <c r="E10" i="73"/>
  <c r="F10" i="73"/>
  <c r="G10" i="73"/>
  <c r="H10" i="73"/>
  <c r="H16" i="73" s="1"/>
  <c r="J10" i="73"/>
  <c r="J16" i="73" s="1"/>
  <c r="K10" i="73"/>
  <c r="L10" i="73"/>
  <c r="M10" i="73"/>
  <c r="N10" i="73"/>
  <c r="O10" i="73"/>
  <c r="P10" i="73"/>
  <c r="Q10" i="73"/>
  <c r="R10" i="73"/>
  <c r="S10" i="73"/>
  <c r="T10" i="73"/>
  <c r="T16" i="73" s="1"/>
  <c r="U10" i="73"/>
  <c r="U16" i="73" s="1"/>
  <c r="V10" i="73"/>
  <c r="V16" i="73" s="1"/>
  <c r="W10" i="73"/>
  <c r="X10" i="73"/>
  <c r="Y10" i="73"/>
  <c r="Z10" i="73"/>
  <c r="AA10" i="73"/>
  <c r="AB10" i="73"/>
  <c r="AC10" i="73"/>
  <c r="AD10" i="73"/>
  <c r="AE10" i="73"/>
  <c r="AF10" i="73"/>
  <c r="AG10" i="73"/>
  <c r="AG16" i="73" s="1"/>
  <c r="AH10" i="73"/>
  <c r="AH16" i="73" s="1"/>
  <c r="AI10" i="73"/>
  <c r="AJ10" i="73"/>
  <c r="AK10" i="73"/>
  <c r="AL10" i="73"/>
  <c r="AM10" i="73"/>
  <c r="AN10" i="73"/>
  <c r="AO10" i="73"/>
  <c r="AP10" i="73"/>
  <c r="AQ10" i="73"/>
  <c r="AR10" i="73"/>
  <c r="AS10" i="73"/>
  <c r="AS16" i="73" s="1"/>
  <c r="AT10" i="73"/>
  <c r="AT16" i="73" s="1"/>
  <c r="AU10" i="73"/>
  <c r="AV10" i="73"/>
  <c r="AW10" i="73"/>
  <c r="AX10" i="73"/>
  <c r="AY10" i="73"/>
  <c r="AZ10" i="73"/>
  <c r="BA10" i="73"/>
  <c r="C10" i="73"/>
  <c r="C16" i="73" s="1"/>
  <c r="AY16" i="73" l="1"/>
  <c r="AM16" i="73"/>
  <c r="AA16" i="73"/>
  <c r="O16" i="73"/>
  <c r="AX16" i="73"/>
  <c r="AL16" i="73"/>
  <c r="Z16" i="73"/>
  <c r="N16" i="73"/>
  <c r="AR16" i="73"/>
  <c r="AF16" i="73"/>
  <c r="F16" i="73"/>
  <c r="AD16" i="73"/>
  <c r="S16" i="73"/>
  <c r="E16" i="73"/>
  <c r="G16" i="73"/>
  <c r="AQ16" i="73"/>
  <c r="AP16" i="73"/>
  <c r="AK16" i="73"/>
  <c r="R16" i="73"/>
  <c r="Y16" i="73"/>
  <c r="AV16" i="73"/>
  <c r="L16" i="73"/>
  <c r="AE16" i="73"/>
  <c r="AW16" i="73"/>
  <c r="AW27" i="73" s="1"/>
  <c r="AW34" i="73" s="1"/>
  <c r="AW39" i="73" s="1"/>
  <c r="M16" i="73"/>
  <c r="AJ16" i="73"/>
  <c r="X16" i="73"/>
  <c r="AU16" i="73"/>
  <c r="AI16" i="73"/>
  <c r="W16" i="73"/>
  <c r="K16" i="73"/>
  <c r="Q16" i="73"/>
  <c r="D16" i="73"/>
  <c r="AN16" i="73"/>
  <c r="AC16" i="73"/>
  <c r="AB16" i="73"/>
  <c r="BA16" i="73"/>
  <c r="P16" i="73"/>
  <c r="AO16" i="73"/>
  <c r="AZ16" i="73"/>
  <c r="C32" i="73"/>
  <c r="D19" i="73"/>
  <c r="D26" i="73" s="1"/>
  <c r="E19" i="73"/>
  <c r="E26" i="73" s="1"/>
  <c r="E27" i="73" s="1"/>
  <c r="E34" i="73" s="1"/>
  <c r="E39" i="73" s="1"/>
  <c r="F19" i="73"/>
  <c r="F26" i="73" s="1"/>
  <c r="G19" i="73"/>
  <c r="G26" i="73" s="1"/>
  <c r="G27" i="73" s="1"/>
  <c r="G34" i="73" s="1"/>
  <c r="G39" i="73" s="1"/>
  <c r="H19" i="73"/>
  <c r="H26" i="73" s="1"/>
  <c r="H27" i="73" s="1"/>
  <c r="H34" i="73" s="1"/>
  <c r="H39" i="73" s="1"/>
  <c r="J19" i="73"/>
  <c r="J26" i="73" s="1"/>
  <c r="J27" i="73" s="1"/>
  <c r="J34" i="73" s="1"/>
  <c r="J39" i="73" s="1"/>
  <c r="L19" i="73"/>
  <c r="L26" i="73" s="1"/>
  <c r="M19" i="73"/>
  <c r="M26" i="73" s="1"/>
  <c r="N19" i="73"/>
  <c r="N26" i="73" s="1"/>
  <c r="O19" i="73"/>
  <c r="O26" i="73" s="1"/>
  <c r="P19" i="73"/>
  <c r="P26" i="73" s="1"/>
  <c r="Q19" i="73"/>
  <c r="Q26" i="73" s="1"/>
  <c r="R19" i="73"/>
  <c r="R26" i="73" s="1"/>
  <c r="S19" i="73"/>
  <c r="S26" i="73" s="1"/>
  <c r="S27" i="73" s="1"/>
  <c r="S34" i="73" s="1"/>
  <c r="S39" i="73" s="1"/>
  <c r="T19" i="73"/>
  <c r="T26" i="73" s="1"/>
  <c r="T27" i="73" s="1"/>
  <c r="T34" i="73" s="1"/>
  <c r="T39" i="73" s="1"/>
  <c r="U19" i="73"/>
  <c r="U26" i="73" s="1"/>
  <c r="U27" i="73" s="1"/>
  <c r="U34" i="73" s="1"/>
  <c r="U39" i="73" s="1"/>
  <c r="V19" i="73"/>
  <c r="V26" i="73" s="1"/>
  <c r="V27" i="73" s="1"/>
  <c r="V34" i="73" s="1"/>
  <c r="V39" i="73" s="1"/>
  <c r="W19" i="73"/>
  <c r="W26" i="73" s="1"/>
  <c r="X19" i="73"/>
  <c r="X26" i="73" s="1"/>
  <c r="Y19" i="73"/>
  <c r="Y26" i="73" s="1"/>
  <c r="Z19" i="73"/>
  <c r="Z26" i="73" s="1"/>
  <c r="AA19" i="73"/>
  <c r="AA26" i="73" s="1"/>
  <c r="AA27" i="73" s="1"/>
  <c r="AA34" i="73" s="1"/>
  <c r="AA39" i="73" s="1"/>
  <c r="AB19" i="73"/>
  <c r="AB26" i="73" s="1"/>
  <c r="AC19" i="73"/>
  <c r="AC26" i="73" s="1"/>
  <c r="AD19" i="73"/>
  <c r="AD26" i="73" s="1"/>
  <c r="AE19" i="73"/>
  <c r="AE26" i="73" s="1"/>
  <c r="AF19" i="73"/>
  <c r="AF26" i="73" s="1"/>
  <c r="AG19" i="73"/>
  <c r="AG26" i="73" s="1"/>
  <c r="AG27" i="73" s="1"/>
  <c r="AG34" i="73" s="1"/>
  <c r="AG39" i="73" s="1"/>
  <c r="AH19" i="73"/>
  <c r="AH26" i="73" s="1"/>
  <c r="AH27" i="73" s="1"/>
  <c r="AH34" i="73" s="1"/>
  <c r="AH39" i="73" s="1"/>
  <c r="AI19" i="73"/>
  <c r="AI26" i="73" s="1"/>
  <c r="AJ19" i="73"/>
  <c r="AJ26" i="73" s="1"/>
  <c r="AK19" i="73"/>
  <c r="AK26" i="73" s="1"/>
  <c r="AL19" i="73"/>
  <c r="AL26" i="73" s="1"/>
  <c r="AM19" i="73"/>
  <c r="AM26" i="73" s="1"/>
  <c r="AN19" i="73"/>
  <c r="AN26" i="73" s="1"/>
  <c r="AO19" i="73"/>
  <c r="AO26" i="73" s="1"/>
  <c r="AP19" i="73"/>
  <c r="AP26" i="73" s="1"/>
  <c r="AQ19" i="73"/>
  <c r="AQ26" i="73" s="1"/>
  <c r="AQ27" i="73" s="1"/>
  <c r="AQ34" i="73" s="1"/>
  <c r="AQ39" i="73" s="1"/>
  <c r="AR19" i="73"/>
  <c r="AR26" i="73" s="1"/>
  <c r="AS19" i="73"/>
  <c r="AS26" i="73" s="1"/>
  <c r="AS27" i="73" s="1"/>
  <c r="AS34" i="73" s="1"/>
  <c r="AS39" i="73" s="1"/>
  <c r="AT19" i="73"/>
  <c r="AT26" i="73" s="1"/>
  <c r="AT27" i="73" s="1"/>
  <c r="AT34" i="73" s="1"/>
  <c r="AT39" i="73" s="1"/>
  <c r="AU19" i="73"/>
  <c r="AU26" i="73" s="1"/>
  <c r="AV19" i="73"/>
  <c r="AV26" i="73" s="1"/>
  <c r="AW19" i="73"/>
  <c r="AW26" i="73" s="1"/>
  <c r="AX19" i="73"/>
  <c r="AX26" i="73" s="1"/>
  <c r="AY19" i="73"/>
  <c r="AY26" i="73" s="1"/>
  <c r="AZ19" i="73"/>
  <c r="AZ26" i="73" s="1"/>
  <c r="BA19" i="73"/>
  <c r="BA26" i="73" s="1"/>
  <c r="BA27" i="73" s="1"/>
  <c r="BA34" i="73" s="1"/>
  <c r="BA39" i="73" s="1"/>
  <c r="C19" i="73"/>
  <c r="C26" i="73" s="1"/>
  <c r="C27" i="73" s="1"/>
  <c r="C34" i="73" s="1"/>
  <c r="C39" i="73" s="1"/>
  <c r="D57" i="74"/>
  <c r="D87" i="74" s="1"/>
  <c r="E57" i="74"/>
  <c r="F57" i="74"/>
  <c r="H57" i="74"/>
  <c r="I57" i="74"/>
  <c r="J57" i="74"/>
  <c r="K57" i="74"/>
  <c r="L57" i="74"/>
  <c r="M57" i="74"/>
  <c r="N57" i="74"/>
  <c r="P57" i="74"/>
  <c r="Q57" i="74"/>
  <c r="R57" i="74"/>
  <c r="S57" i="74"/>
  <c r="T57" i="74"/>
  <c r="U57" i="74"/>
  <c r="V57" i="74"/>
  <c r="W57" i="74"/>
  <c r="X57" i="74"/>
  <c r="Y57" i="74"/>
  <c r="Z57" i="74"/>
  <c r="AA57" i="74"/>
  <c r="AB57" i="74"/>
  <c r="AC57" i="74"/>
  <c r="AD57" i="74"/>
  <c r="AE57" i="74"/>
  <c r="AF57" i="74"/>
  <c r="AG57" i="74"/>
  <c r="AH57" i="74"/>
  <c r="AI57" i="74"/>
  <c r="AJ57" i="74"/>
  <c r="AK57" i="74"/>
  <c r="AL57" i="74"/>
  <c r="AM57" i="74"/>
  <c r="AN57" i="74"/>
  <c r="AO57" i="74"/>
  <c r="AP57" i="74"/>
  <c r="AQ57" i="74"/>
  <c r="AR57" i="74"/>
  <c r="AS57" i="74"/>
  <c r="AT57" i="74"/>
  <c r="AU57" i="74"/>
  <c r="AV57" i="74"/>
  <c r="AW57" i="74"/>
  <c r="AX57" i="74"/>
  <c r="AY57" i="74"/>
  <c r="AZ57" i="74"/>
  <c r="BA57" i="74"/>
  <c r="C57" i="74"/>
  <c r="C87" i="74" s="1"/>
  <c r="C16" i="74"/>
  <c r="C36" i="74" s="1"/>
  <c r="AX27" i="73" l="1"/>
  <c r="AX34" i="73" s="1"/>
  <c r="AX39" i="73" s="1"/>
  <c r="AL27" i="73"/>
  <c r="AL34" i="73" s="1"/>
  <c r="AL39" i="73" s="1"/>
  <c r="AY27" i="73"/>
  <c r="AY34" i="73" s="1"/>
  <c r="AY39" i="73" s="1"/>
  <c r="AM27" i="73"/>
  <c r="AM34" i="73" s="1"/>
  <c r="AM39" i="73" s="1"/>
  <c r="O27" i="73"/>
  <c r="O34" i="73" s="1"/>
  <c r="O39" i="73" s="1"/>
  <c r="AO27" i="73"/>
  <c r="AO34" i="73" s="1"/>
  <c r="AO39" i="73" s="1"/>
  <c r="M27" i="73"/>
  <c r="M34" i="73" s="1"/>
  <c r="M39" i="73" s="1"/>
  <c r="AE27" i="73"/>
  <c r="AE34" i="73" s="1"/>
  <c r="AE39" i="73" s="1"/>
  <c r="Z27" i="73"/>
  <c r="Z34" i="73" s="1"/>
  <c r="Z39" i="73" s="1"/>
  <c r="AK27" i="73"/>
  <c r="AK34" i="73" s="1"/>
  <c r="AK39" i="73" s="1"/>
  <c r="AD27" i="73"/>
  <c r="AD34" i="73" s="1"/>
  <c r="AD39" i="73" s="1"/>
  <c r="N27" i="73"/>
  <c r="N34" i="73" s="1"/>
  <c r="N39" i="73" s="1"/>
  <c r="AC27" i="73"/>
  <c r="AC34" i="73" s="1"/>
  <c r="AC39" i="73" s="1"/>
  <c r="AB27" i="73"/>
  <c r="AB34" i="73" s="1"/>
  <c r="AB39" i="73" s="1"/>
  <c r="AV27" i="73"/>
  <c r="AV34" i="73" s="1"/>
  <c r="AV39" i="73" s="1"/>
  <c r="L27" i="73"/>
  <c r="L34" i="73" s="1"/>
  <c r="L39" i="73" s="1"/>
  <c r="AN27" i="73"/>
  <c r="AN34" i="73" s="1"/>
  <c r="AN39" i="73" s="1"/>
  <c r="AZ27" i="73"/>
  <c r="AZ34" i="73" s="1"/>
  <c r="AZ39" i="73" s="1"/>
  <c r="X27" i="73"/>
  <c r="X34" i="73" s="1"/>
  <c r="X39" i="73" s="1"/>
  <c r="AR27" i="73"/>
  <c r="AR34" i="73" s="1"/>
  <c r="AR39" i="73" s="1"/>
  <c r="AF27" i="73"/>
  <c r="AF34" i="73" s="1"/>
  <c r="AF39" i="73" s="1"/>
  <c r="F27" i="73"/>
  <c r="F34" i="73" s="1"/>
  <c r="F39" i="73" s="1"/>
  <c r="R27" i="73"/>
  <c r="R34" i="73" s="1"/>
  <c r="R39" i="73" s="1"/>
  <c r="Q27" i="73"/>
  <c r="Q34" i="73" s="1"/>
  <c r="Q39" i="73" s="1"/>
  <c r="P27" i="73"/>
  <c r="P34" i="73" s="1"/>
  <c r="P39" i="73" s="1"/>
  <c r="Y27" i="73"/>
  <c r="Y34" i="73" s="1"/>
  <c r="Y39" i="73" s="1"/>
  <c r="AP27" i="73"/>
  <c r="AP34" i="73" s="1"/>
  <c r="AP39" i="73" s="1"/>
  <c r="AJ27" i="73"/>
  <c r="AJ34" i="73" s="1"/>
  <c r="AJ39" i="73" s="1"/>
  <c r="AU27" i="73"/>
  <c r="AU34" i="73" s="1"/>
  <c r="AU39" i="73" s="1"/>
  <c r="AI27" i="73"/>
  <c r="AI34" i="73" s="1"/>
  <c r="AI39" i="73" s="1"/>
  <c r="W27" i="73"/>
  <c r="W34" i="73" s="1"/>
  <c r="W39" i="73" s="1"/>
  <c r="D27" i="73"/>
  <c r="D34" i="73" s="1"/>
  <c r="D39" i="73" s="1"/>
  <c r="E22" i="82"/>
  <c r="D22" i="82"/>
  <c r="E133" i="82"/>
  <c r="E132" i="82"/>
  <c r="E131" i="82"/>
  <c r="E130" i="82"/>
  <c r="E126" i="82"/>
  <c r="E125" i="82"/>
  <c r="E124" i="82"/>
  <c r="E120" i="82"/>
  <c r="E119" i="82"/>
  <c r="E118" i="82"/>
  <c r="E114" i="82"/>
  <c r="E113" i="82"/>
  <c r="E112" i="82"/>
  <c r="E111" i="82"/>
  <c r="E107" i="82"/>
  <c r="E106" i="82"/>
  <c r="E105" i="82"/>
  <c r="E104" i="82"/>
  <c r="E100" i="82"/>
  <c r="E99" i="82"/>
  <c r="E98" i="82"/>
  <c r="E97" i="82"/>
  <c r="E93" i="82"/>
  <c r="E92" i="82"/>
  <c r="E91" i="82"/>
  <c r="E90" i="82"/>
  <c r="E86" i="82"/>
  <c r="E85" i="82"/>
  <c r="E84" i="82"/>
  <c r="E83" i="82"/>
  <c r="E79" i="82"/>
  <c r="E78" i="82"/>
  <c r="E77" i="82"/>
  <c r="E76" i="82"/>
  <c r="E72" i="82"/>
  <c r="E71" i="82"/>
  <c r="E70" i="82"/>
  <c r="E66" i="82"/>
  <c r="E65" i="82"/>
  <c r="E64" i="82"/>
  <c r="E63" i="82"/>
  <c r="E59" i="82"/>
  <c r="E58" i="82"/>
  <c r="E57" i="82"/>
  <c r="E56" i="82"/>
  <c r="E55" i="82"/>
  <c r="E51" i="82"/>
  <c r="E50" i="82"/>
  <c r="E49" i="82"/>
  <c r="E48" i="82"/>
  <c r="E47" i="82"/>
  <c r="D44" i="82"/>
  <c r="E43" i="82"/>
  <c r="E42" i="82"/>
  <c r="E41" i="82"/>
  <c r="E40" i="82"/>
  <c r="E35" i="82"/>
  <c r="E34" i="82"/>
  <c r="E33" i="82"/>
  <c r="E32" i="82"/>
  <c r="E127" i="82" l="1"/>
  <c r="E101" i="82"/>
  <c r="E73" i="82"/>
  <c r="E44" i="82"/>
  <c r="E108" i="82"/>
  <c r="E67" i="82"/>
  <c r="E134" i="82"/>
  <c r="E94" i="82"/>
  <c r="E115" i="82"/>
  <c r="E52" i="82"/>
  <c r="E121" i="82"/>
  <c r="E87" i="82"/>
  <c r="E60" i="82"/>
  <c r="E80" i="82"/>
  <c r="E86" i="74" l="1"/>
  <c r="C11" i="77" l="1"/>
  <c r="C17" i="77" s="1"/>
  <c r="D11" i="77"/>
  <c r="D17" i="77" s="1"/>
  <c r="E11" i="77"/>
  <c r="E17" i="77" s="1"/>
  <c r="F11" i="77"/>
  <c r="F17" i="77" s="1"/>
  <c r="G11" i="77"/>
  <c r="G17" i="77" s="1"/>
  <c r="H11" i="77"/>
  <c r="H17" i="77" s="1"/>
  <c r="I11" i="77"/>
  <c r="I17" i="77" s="1"/>
  <c r="J11" i="77"/>
  <c r="J17" i="77" s="1"/>
  <c r="K11" i="77"/>
  <c r="K17" i="77" s="1"/>
  <c r="L11" i="77"/>
  <c r="L17" i="77" s="1"/>
  <c r="M11" i="77"/>
  <c r="M17" i="77" s="1"/>
  <c r="N11" i="77"/>
  <c r="N17" i="77" s="1"/>
  <c r="F86" i="74" l="1"/>
  <c r="E75" i="74"/>
  <c r="E87" i="74" l="1"/>
  <c r="E16" i="74" l="1"/>
  <c r="E34" i="74"/>
  <c r="E36" i="74" s="1"/>
  <c r="F16" i="74"/>
  <c r="E190" i="80" l="1"/>
  <c r="E94" i="73"/>
  <c r="E85" i="73"/>
  <c r="E49" i="73"/>
  <c r="F85" i="73"/>
  <c r="E96" i="73" l="1"/>
  <c r="E101" i="73" s="1"/>
  <c r="E188" i="80" l="1"/>
  <c r="F49" i="73" l="1"/>
  <c r="F10" i="79" l="1"/>
  <c r="G10" i="79"/>
  <c r="H10" i="79"/>
  <c r="P86" i="74"/>
  <c r="G16" i="74"/>
  <c r="J16" i="74" l="1"/>
  <c r="J86" i="74"/>
  <c r="J75" i="74"/>
  <c r="J34" i="74"/>
  <c r="J36" i="74" s="1"/>
  <c r="K16" i="74"/>
  <c r="F75" i="74"/>
  <c r="F34" i="74"/>
  <c r="F36" i="74" s="1"/>
  <c r="G34" i="74"/>
  <c r="G36" i="74" s="1"/>
  <c r="H16" i="74"/>
  <c r="K86" i="74"/>
  <c r="H86" i="74"/>
  <c r="H75" i="74"/>
  <c r="H34" i="74"/>
  <c r="H36" i="74" l="1"/>
  <c r="J87" i="74"/>
  <c r="F87" i="74"/>
  <c r="BA86" i="74" l="1"/>
  <c r="AZ86" i="74"/>
  <c r="AY86" i="74"/>
  <c r="AX86" i="74"/>
  <c r="AW86" i="74"/>
  <c r="AV86" i="74"/>
  <c r="AU86" i="74"/>
  <c r="AT86" i="74"/>
  <c r="AS86" i="74"/>
  <c r="AR86" i="74"/>
  <c r="AQ86" i="74"/>
  <c r="AP86" i="74"/>
  <c r="AO86" i="74"/>
  <c r="AN86" i="74"/>
  <c r="AM86" i="74"/>
  <c r="AL86" i="74"/>
  <c r="AK86" i="74"/>
  <c r="AJ86" i="74"/>
  <c r="AI86" i="74"/>
  <c r="AH86" i="74"/>
  <c r="AG86" i="74"/>
  <c r="AF86" i="74"/>
  <c r="AE86" i="74"/>
  <c r="AD86" i="74"/>
  <c r="AC86" i="74"/>
  <c r="AB86" i="74"/>
  <c r="AA86" i="74"/>
  <c r="Z86" i="74"/>
  <c r="Y86" i="74"/>
  <c r="X86" i="74"/>
  <c r="W86" i="74"/>
  <c r="V86" i="74"/>
  <c r="U86" i="74"/>
  <c r="T86" i="74"/>
  <c r="S86" i="74"/>
  <c r="R86" i="74"/>
  <c r="Q86" i="74"/>
  <c r="M86" i="74"/>
  <c r="L86" i="74"/>
  <c r="I86" i="74"/>
  <c r="G86" i="74"/>
  <c r="O83" i="74"/>
  <c r="O82" i="74"/>
  <c r="N82" i="74"/>
  <c r="O81" i="74"/>
  <c r="N81" i="74"/>
  <c r="O79" i="74"/>
  <c r="N79" i="74"/>
  <c r="O78" i="74"/>
  <c r="N78" i="74"/>
  <c r="BA75" i="74"/>
  <c r="AZ75" i="74"/>
  <c r="AY75" i="74"/>
  <c r="AX75" i="74"/>
  <c r="AW75" i="74"/>
  <c r="AV75" i="74"/>
  <c r="AU75" i="74"/>
  <c r="AT75" i="74"/>
  <c r="AS75" i="74"/>
  <c r="AR75" i="74"/>
  <c r="AQ75" i="74"/>
  <c r="AP75" i="74"/>
  <c r="AO75" i="74"/>
  <c r="AN75" i="74"/>
  <c r="AM75" i="74"/>
  <c r="AL75" i="74"/>
  <c r="AK75" i="74"/>
  <c r="AJ75" i="74"/>
  <c r="AI75" i="74"/>
  <c r="AH75" i="74"/>
  <c r="AG75" i="74"/>
  <c r="AF75" i="74"/>
  <c r="AE75" i="74"/>
  <c r="AD75" i="74"/>
  <c r="AC75" i="74"/>
  <c r="AB75" i="74"/>
  <c r="AA75" i="74"/>
  <c r="Z75" i="74"/>
  <c r="Y75" i="74"/>
  <c r="X75" i="74"/>
  <c r="W75" i="74"/>
  <c r="V75" i="74"/>
  <c r="U75" i="74"/>
  <c r="T75" i="74"/>
  <c r="S75" i="74"/>
  <c r="R75" i="74"/>
  <c r="Q75" i="74"/>
  <c r="P75" i="74"/>
  <c r="N75" i="74"/>
  <c r="M75" i="74"/>
  <c r="L75" i="74"/>
  <c r="K75" i="74"/>
  <c r="I75" i="74"/>
  <c r="G75" i="74"/>
  <c r="O73" i="74"/>
  <c r="O66" i="74"/>
  <c r="O65" i="74"/>
  <c r="O64" i="74"/>
  <c r="O63" i="74"/>
  <c r="O62" i="74"/>
  <c r="O61" i="74"/>
  <c r="O55" i="74"/>
  <c r="O51" i="74"/>
  <c r="O50" i="74"/>
  <c r="O48" i="74"/>
  <c r="O52" i="74"/>
  <c r="O47" i="74"/>
  <c r="O49" i="74"/>
  <c r="O43" i="74"/>
  <c r="O45" i="74"/>
  <c r="O42" i="74"/>
  <c r="O41" i="74"/>
  <c r="O46" i="74"/>
  <c r="G46" i="74"/>
  <c r="G57" i="74" s="1"/>
  <c r="O44" i="74"/>
  <c r="BA34" i="74"/>
  <c r="BA36" i="74" s="1"/>
  <c r="AZ34" i="74"/>
  <c r="AZ36" i="74" s="1"/>
  <c r="AY34" i="74"/>
  <c r="AY36" i="74" s="1"/>
  <c r="AX34" i="74"/>
  <c r="AX36" i="74" s="1"/>
  <c r="AW34" i="74"/>
  <c r="AW36" i="74" s="1"/>
  <c r="AV34" i="74"/>
  <c r="AU34" i="74"/>
  <c r="AT34" i="74"/>
  <c r="AS34" i="74"/>
  <c r="AR34" i="74"/>
  <c r="AQ34" i="74"/>
  <c r="AP34" i="74"/>
  <c r="AP36" i="74" s="1"/>
  <c r="AO34" i="74"/>
  <c r="AO36" i="74" s="1"/>
  <c r="AN34" i="74"/>
  <c r="AN36" i="74" s="1"/>
  <c r="AM34" i="74"/>
  <c r="AM36" i="74" s="1"/>
  <c r="AL34" i="74"/>
  <c r="AL36" i="74" s="1"/>
  <c r="AK34" i="74"/>
  <c r="AK36" i="74" s="1"/>
  <c r="AJ34" i="74"/>
  <c r="AI34" i="74"/>
  <c r="AH34" i="74"/>
  <c r="AG34" i="74"/>
  <c r="AF34" i="74"/>
  <c r="AE34" i="74"/>
  <c r="AD34" i="74"/>
  <c r="AD36" i="74" s="1"/>
  <c r="AC34" i="74"/>
  <c r="AC36" i="74" s="1"/>
  <c r="AB34" i="74"/>
  <c r="AB36" i="74" s="1"/>
  <c r="AA34" i="74"/>
  <c r="AA36" i="74" s="1"/>
  <c r="Z34" i="74"/>
  <c r="Z36" i="74" s="1"/>
  <c r="Y34" i="74"/>
  <c r="Y36" i="74" s="1"/>
  <c r="X34" i="74"/>
  <c r="W34" i="74"/>
  <c r="V34" i="74"/>
  <c r="U34" i="74"/>
  <c r="T34" i="74"/>
  <c r="S34" i="74"/>
  <c r="R34" i="74"/>
  <c r="R36" i="74" s="1"/>
  <c r="Q34" i="74"/>
  <c r="Q36" i="74" s="1"/>
  <c r="P34" i="74"/>
  <c r="P36" i="74" s="1"/>
  <c r="N34" i="74"/>
  <c r="N36" i="74" s="1"/>
  <c r="M34" i="74"/>
  <c r="M36" i="74" s="1"/>
  <c r="L34" i="74"/>
  <c r="L36" i="74" s="1"/>
  <c r="K34" i="74"/>
  <c r="K36" i="74" s="1"/>
  <c r="I34" i="74"/>
  <c r="O32" i="74"/>
  <c r="O31" i="74"/>
  <c r="O30" i="74"/>
  <c r="O29" i="74"/>
  <c r="O28" i="74"/>
  <c r="O25" i="74"/>
  <c r="O24" i="74"/>
  <c r="O23" i="74"/>
  <c r="O27" i="74"/>
  <c r="O22" i="74"/>
  <c r="O21" i="74"/>
  <c r="BA16" i="74"/>
  <c r="AZ16" i="74"/>
  <c r="AY16" i="74"/>
  <c r="AX16" i="74"/>
  <c r="AW16" i="74"/>
  <c r="AV16" i="74"/>
  <c r="AU16" i="74"/>
  <c r="AT16" i="74"/>
  <c r="AS16" i="74"/>
  <c r="AR16" i="74"/>
  <c r="AQ16" i="74"/>
  <c r="AP16" i="74"/>
  <c r="AO16" i="74"/>
  <c r="AN16" i="74"/>
  <c r="AM16" i="74"/>
  <c r="AL16" i="74"/>
  <c r="AK16" i="74"/>
  <c r="AJ16" i="74"/>
  <c r="AI16" i="74"/>
  <c r="AH16" i="74"/>
  <c r="AG16" i="74"/>
  <c r="AF16" i="74"/>
  <c r="AE16" i="74"/>
  <c r="AD16" i="74"/>
  <c r="AC16" i="74"/>
  <c r="AB16" i="74"/>
  <c r="AA16" i="74"/>
  <c r="Z16" i="74"/>
  <c r="Y16" i="74"/>
  <c r="X16" i="74"/>
  <c r="W16" i="74"/>
  <c r="V16" i="74"/>
  <c r="U16" i="74"/>
  <c r="T16" i="74"/>
  <c r="S16" i="74"/>
  <c r="R16" i="74"/>
  <c r="Q16" i="74"/>
  <c r="P16" i="74"/>
  <c r="O16" i="74"/>
  <c r="N16" i="74"/>
  <c r="M16" i="74"/>
  <c r="L16" i="74"/>
  <c r="I16" i="74"/>
  <c r="AQ36" i="74" l="1"/>
  <c r="AR36" i="74"/>
  <c r="AE36" i="74"/>
  <c r="AS36" i="74"/>
  <c r="O57" i="74"/>
  <c r="T36" i="74"/>
  <c r="V36" i="74"/>
  <c r="S36" i="74"/>
  <c r="AG36" i="74"/>
  <c r="AH36" i="74"/>
  <c r="I36" i="74"/>
  <c r="W36" i="74"/>
  <c r="AI36" i="74"/>
  <c r="AU36" i="74"/>
  <c r="AF36" i="74"/>
  <c r="U36" i="74"/>
  <c r="AT36" i="74"/>
  <c r="X36" i="74"/>
  <c r="AJ36" i="74"/>
  <c r="AV36" i="74"/>
  <c r="AE87" i="74"/>
  <c r="AQ87" i="74"/>
  <c r="G87" i="74"/>
  <c r="O34" i="74"/>
  <c r="O36" i="74" s="1"/>
  <c r="S87" i="74"/>
  <c r="H87" i="74"/>
  <c r="I87" i="74"/>
  <c r="W87" i="74"/>
  <c r="AI87" i="74"/>
  <c r="AU87" i="74"/>
  <c r="V87" i="74"/>
  <c r="AH87" i="74"/>
  <c r="AT87" i="74"/>
  <c r="X87" i="74"/>
  <c r="AJ87" i="74"/>
  <c r="AV87" i="74"/>
  <c r="O75" i="74"/>
  <c r="K87" i="74"/>
  <c r="Y87" i="74"/>
  <c r="AK87" i="74"/>
  <c r="AW87" i="74"/>
  <c r="L87" i="74"/>
  <c r="Z87" i="74"/>
  <c r="AL87" i="74"/>
  <c r="AX87" i="74"/>
  <c r="Q87" i="74"/>
  <c r="M87" i="74"/>
  <c r="AA87" i="74"/>
  <c r="AM87" i="74"/>
  <c r="AY87" i="74"/>
  <c r="R87" i="74"/>
  <c r="AD87" i="74"/>
  <c r="AP87" i="74"/>
  <c r="P87" i="74"/>
  <c r="AB87" i="74"/>
  <c r="AN87" i="74"/>
  <c r="AZ87" i="74"/>
  <c r="O86" i="74"/>
  <c r="AC87" i="74"/>
  <c r="AO87" i="74"/>
  <c r="BA87" i="74"/>
  <c r="N86" i="74"/>
  <c r="N87" i="74" s="1"/>
  <c r="T87" i="74"/>
  <c r="AF87" i="74"/>
  <c r="AR87" i="74"/>
  <c r="U87" i="74"/>
  <c r="AG87" i="74"/>
  <c r="AS87" i="74"/>
  <c r="O87" i="74" l="1"/>
  <c r="J68" i="73" l="1"/>
  <c r="J94" i="73"/>
  <c r="J85" i="73"/>
  <c r="J49" i="73"/>
  <c r="G85" i="73"/>
  <c r="F94" i="73"/>
  <c r="G94" i="73"/>
  <c r="H94" i="73"/>
  <c r="I94" i="73"/>
  <c r="K94" i="73"/>
  <c r="L94" i="73"/>
  <c r="H85" i="73"/>
  <c r="I85" i="73"/>
  <c r="K85" i="73"/>
  <c r="L85" i="73"/>
  <c r="H70" i="73"/>
  <c r="H72" i="73"/>
  <c r="G49" i="73"/>
  <c r="H49" i="73"/>
  <c r="K49" i="73"/>
  <c r="J96" i="73" l="1"/>
  <c r="J101" i="73" s="1"/>
  <c r="F96" i="73"/>
  <c r="F101" i="73" s="1"/>
  <c r="I96" i="73"/>
  <c r="K96" i="73"/>
  <c r="H96" i="73"/>
  <c r="G96" i="73"/>
  <c r="L96" i="73"/>
  <c r="BA94" i="73" l="1"/>
  <c r="AZ94" i="73"/>
  <c r="AY94" i="73"/>
  <c r="AX94" i="73"/>
  <c r="AW94" i="73"/>
  <c r="AV94" i="73"/>
  <c r="AU94" i="73"/>
  <c r="AT94" i="73"/>
  <c r="AS94" i="73"/>
  <c r="AR94" i="73"/>
  <c r="AQ94" i="73"/>
  <c r="AP94" i="73"/>
  <c r="AO94" i="73"/>
  <c r="AN94" i="73"/>
  <c r="AM94" i="73"/>
  <c r="AL94" i="73"/>
  <c r="AK94" i="73"/>
  <c r="AJ94" i="73"/>
  <c r="AI94" i="73"/>
  <c r="AH94" i="73"/>
  <c r="AG94" i="73"/>
  <c r="AF94" i="73"/>
  <c r="AE94" i="73"/>
  <c r="AD94" i="73"/>
  <c r="AC94" i="73"/>
  <c r="AB94" i="73"/>
  <c r="AA94" i="73"/>
  <c r="Z94" i="73"/>
  <c r="Y94" i="73"/>
  <c r="X94" i="73"/>
  <c r="W94" i="73"/>
  <c r="V94" i="73"/>
  <c r="U94" i="73"/>
  <c r="T94" i="73"/>
  <c r="S94" i="73"/>
  <c r="R94" i="73"/>
  <c r="Q94" i="73"/>
  <c r="P94" i="73"/>
  <c r="O94" i="73"/>
  <c r="N94" i="73"/>
  <c r="M94" i="73"/>
  <c r="BA85" i="73"/>
  <c r="AZ85" i="73"/>
  <c r="AY85" i="73"/>
  <c r="AX85" i="73"/>
  <c r="AW85" i="73"/>
  <c r="AV85" i="73"/>
  <c r="AU85" i="73"/>
  <c r="AT85" i="73"/>
  <c r="AS85" i="73"/>
  <c r="AR85" i="73"/>
  <c r="AQ85" i="73"/>
  <c r="AP85" i="73"/>
  <c r="AO85" i="73"/>
  <c r="AN85" i="73"/>
  <c r="AM85" i="73"/>
  <c r="AL85" i="73"/>
  <c r="AK85" i="73"/>
  <c r="AJ85" i="73"/>
  <c r="AI85" i="73"/>
  <c r="AH85" i="73"/>
  <c r="AG85" i="73"/>
  <c r="AF85" i="73"/>
  <c r="AE85" i="73"/>
  <c r="AD85" i="73"/>
  <c r="AC85" i="73"/>
  <c r="AB85" i="73"/>
  <c r="AA85" i="73"/>
  <c r="Z85" i="73"/>
  <c r="Y85" i="73"/>
  <c r="X85" i="73"/>
  <c r="W85" i="73"/>
  <c r="V85" i="73"/>
  <c r="U85" i="73"/>
  <c r="T85" i="73"/>
  <c r="S85" i="73"/>
  <c r="Q85" i="73"/>
  <c r="P85" i="73"/>
  <c r="O85" i="73"/>
  <c r="N85" i="73"/>
  <c r="M85" i="73"/>
  <c r="K66" i="73"/>
  <c r="I66" i="73"/>
  <c r="K65" i="73"/>
  <c r="K19" i="73" s="1"/>
  <c r="I65" i="73"/>
  <c r="I19" i="73" s="1"/>
  <c r="I26" i="73" s="1"/>
  <c r="K64" i="73"/>
  <c r="I64" i="73"/>
  <c r="X63" i="73"/>
  <c r="W63" i="73"/>
  <c r="V63" i="73"/>
  <c r="U63" i="73"/>
  <c r="T63" i="73"/>
  <c r="K63" i="73"/>
  <c r="I63" i="73"/>
  <c r="G63" i="73"/>
  <c r="G56" i="73" s="1"/>
  <c r="G101" i="73" s="1"/>
  <c r="X62" i="73"/>
  <c r="W62" i="73"/>
  <c r="V62" i="73"/>
  <c r="U62" i="73"/>
  <c r="T62" i="73"/>
  <c r="K62" i="73"/>
  <c r="I62" i="73"/>
  <c r="K61" i="73"/>
  <c r="I61" i="73"/>
  <c r="X60" i="73"/>
  <c r="W60" i="73"/>
  <c r="W56" i="73" s="1"/>
  <c r="V60" i="73"/>
  <c r="V56" i="73" s="1"/>
  <c r="U60" i="73"/>
  <c r="T60" i="73"/>
  <c r="K60" i="73"/>
  <c r="I60" i="73"/>
  <c r="K59" i="73"/>
  <c r="I59" i="73"/>
  <c r="K58" i="73"/>
  <c r="I58" i="73"/>
  <c r="BA68" i="73"/>
  <c r="AZ68" i="73"/>
  <c r="AY68" i="73"/>
  <c r="AX68" i="73"/>
  <c r="AW68" i="73"/>
  <c r="AV68" i="73"/>
  <c r="AU68" i="73"/>
  <c r="AT68" i="73"/>
  <c r="AS68" i="73"/>
  <c r="AR68" i="73"/>
  <c r="AQ68" i="73"/>
  <c r="AP68" i="73"/>
  <c r="AO68" i="73"/>
  <c r="AN68" i="73"/>
  <c r="AM68" i="73"/>
  <c r="AL68" i="73"/>
  <c r="AK68" i="73"/>
  <c r="AJ68" i="73"/>
  <c r="AI68" i="73"/>
  <c r="AH68" i="73"/>
  <c r="AG68" i="73"/>
  <c r="AF68" i="73"/>
  <c r="AE68" i="73"/>
  <c r="AD68" i="73"/>
  <c r="AC68" i="73"/>
  <c r="AB68" i="73"/>
  <c r="AA68" i="73"/>
  <c r="Z68" i="73"/>
  <c r="Y68" i="73"/>
  <c r="S68" i="73"/>
  <c r="R68" i="73"/>
  <c r="Q68" i="73"/>
  <c r="Q54" i="73"/>
  <c r="P54" i="73"/>
  <c r="O54" i="73"/>
  <c r="N54" i="73"/>
  <c r="H54" i="73"/>
  <c r="H101" i="73" s="1"/>
  <c r="S52" i="73"/>
  <c r="R52" i="73"/>
  <c r="M52" i="73"/>
  <c r="L52" i="73"/>
  <c r="K52" i="73"/>
  <c r="K54" i="73" s="1"/>
  <c r="I52" i="73"/>
  <c r="S51" i="73"/>
  <c r="R51" i="73"/>
  <c r="M51" i="73"/>
  <c r="L51" i="73"/>
  <c r="I51" i="73"/>
  <c r="BA49" i="73"/>
  <c r="AZ49" i="73"/>
  <c r="AY49" i="73"/>
  <c r="AX49" i="73"/>
  <c r="AW49" i="73"/>
  <c r="AV49" i="73"/>
  <c r="AU49" i="73"/>
  <c r="AT49" i="73"/>
  <c r="AS49" i="73"/>
  <c r="AR49" i="73"/>
  <c r="AQ49" i="73"/>
  <c r="AP49" i="73"/>
  <c r="AO49" i="73"/>
  <c r="AN49" i="73"/>
  <c r="AM49" i="73"/>
  <c r="AL49" i="73"/>
  <c r="AK49" i="73"/>
  <c r="AJ49" i="73"/>
  <c r="AI49" i="73"/>
  <c r="AH49" i="73"/>
  <c r="AG49" i="73"/>
  <c r="AF49" i="73"/>
  <c r="AE49" i="73"/>
  <c r="AD49" i="73"/>
  <c r="AC49" i="73"/>
  <c r="AB49" i="73"/>
  <c r="AA49" i="73"/>
  <c r="Z49" i="73"/>
  <c r="Y49" i="73"/>
  <c r="X49" i="73"/>
  <c r="W49" i="73"/>
  <c r="V49" i="73"/>
  <c r="U49" i="73"/>
  <c r="T49" i="73"/>
  <c r="S49" i="73"/>
  <c r="R49" i="73"/>
  <c r="Q49" i="73"/>
  <c r="P49" i="73"/>
  <c r="O49" i="73"/>
  <c r="N49" i="73"/>
  <c r="M47" i="73"/>
  <c r="L47" i="73"/>
  <c r="I47" i="73"/>
  <c r="M46" i="73"/>
  <c r="L46" i="73"/>
  <c r="I46" i="73"/>
  <c r="M45" i="73"/>
  <c r="L45" i="73"/>
  <c r="I45" i="73"/>
  <c r="I30" i="73"/>
  <c r="I29" i="73"/>
  <c r="K24" i="73"/>
  <c r="K23" i="73"/>
  <c r="K22" i="73"/>
  <c r="K21" i="73"/>
  <c r="K20" i="73"/>
  <c r="I13" i="73"/>
  <c r="I12" i="73"/>
  <c r="I14" i="73" s="1"/>
  <c r="I8" i="73"/>
  <c r="I7" i="73"/>
  <c r="I6" i="73"/>
  <c r="I5" i="73"/>
  <c r="I10" i="73" s="1"/>
  <c r="I16" i="73" s="1"/>
  <c r="I27" i="73" s="1"/>
  <c r="X56" i="73" l="1"/>
  <c r="I56" i="73"/>
  <c r="K56" i="73"/>
  <c r="K101" i="73" s="1"/>
  <c r="T56" i="73"/>
  <c r="I32" i="73"/>
  <c r="I34" i="73" s="1"/>
  <c r="I39" i="73" s="1"/>
  <c r="U56" i="73"/>
  <c r="U68" i="73" s="1"/>
  <c r="K26" i="73"/>
  <c r="K27" i="73" s="1"/>
  <c r="K34" i="73" s="1"/>
  <c r="K39" i="73" s="1"/>
  <c r="O96" i="73"/>
  <c r="O101" i="73" s="1"/>
  <c r="I49" i="73"/>
  <c r="L49" i="73"/>
  <c r="N96" i="73"/>
  <c r="N101" i="73" s="1"/>
  <c r="AX96" i="73"/>
  <c r="AX101" i="73" s="1"/>
  <c r="M96" i="73"/>
  <c r="V68" i="73"/>
  <c r="S96" i="73"/>
  <c r="AE96" i="73"/>
  <c r="AE101" i="73" s="1"/>
  <c r="AQ96" i="73"/>
  <c r="AQ101" i="73" s="1"/>
  <c r="T68" i="73"/>
  <c r="W68" i="73"/>
  <c r="P96" i="73"/>
  <c r="P101" i="73" s="1"/>
  <c r="AB96" i="73"/>
  <c r="AB101" i="73" s="1"/>
  <c r="AN96" i="73"/>
  <c r="AN101" i="73" s="1"/>
  <c r="AZ96" i="73"/>
  <c r="AZ101" i="73" s="1"/>
  <c r="Z96" i="73"/>
  <c r="Z101" i="73" s="1"/>
  <c r="I54" i="73"/>
  <c r="X68" i="73"/>
  <c r="AA96" i="73"/>
  <c r="AA101" i="73" s="1"/>
  <c r="AM96" i="73"/>
  <c r="AM101" i="73" s="1"/>
  <c r="R96" i="73"/>
  <c r="M49" i="73"/>
  <c r="T96" i="73"/>
  <c r="AF96" i="73"/>
  <c r="AF101" i="73" s="1"/>
  <c r="AR96" i="73"/>
  <c r="AR101" i="73" s="1"/>
  <c r="R54" i="73"/>
  <c r="L54" i="73"/>
  <c r="S54" i="73"/>
  <c r="AL96" i="73"/>
  <c r="AL101" i="73" s="1"/>
  <c r="AY96" i="73"/>
  <c r="AY101" i="73" s="1"/>
  <c r="Q96" i="73"/>
  <c r="Q101" i="73" s="1"/>
  <c r="W96" i="73"/>
  <c r="W101" i="73" s="1"/>
  <c r="AI96" i="73"/>
  <c r="AI101" i="73" s="1"/>
  <c r="AU96" i="73"/>
  <c r="AU101" i="73" s="1"/>
  <c r="Y96" i="73"/>
  <c r="Y101" i="73" s="1"/>
  <c r="AK96" i="73"/>
  <c r="AK101" i="73" s="1"/>
  <c r="AW96" i="73"/>
  <c r="AW101" i="73" s="1"/>
  <c r="AJ96" i="73"/>
  <c r="AJ101" i="73" s="1"/>
  <c r="AC96" i="73"/>
  <c r="AC101" i="73" s="1"/>
  <c r="AO96" i="73"/>
  <c r="AO101" i="73" s="1"/>
  <c r="BA96" i="73"/>
  <c r="BA101" i="73" s="1"/>
  <c r="M54" i="73"/>
  <c r="AD96" i="73"/>
  <c r="AD101" i="73" s="1"/>
  <c r="AP96" i="73"/>
  <c r="AP101" i="73" s="1"/>
  <c r="X96" i="73"/>
  <c r="X101" i="73" s="1"/>
  <c r="AV96" i="73"/>
  <c r="AV101" i="73" s="1"/>
  <c r="U96" i="73"/>
  <c r="AG96" i="73"/>
  <c r="AG101" i="73" s="1"/>
  <c r="AS96" i="73"/>
  <c r="AS101" i="73" s="1"/>
  <c r="V96" i="73"/>
  <c r="V101" i="73" s="1"/>
  <c r="AH96" i="73"/>
  <c r="AH101" i="73" s="1"/>
  <c r="AT96" i="73"/>
  <c r="AT101" i="73" s="1"/>
  <c r="R101" i="73" l="1"/>
  <c r="T101" i="73"/>
  <c r="M101" i="73"/>
  <c r="S101" i="73"/>
  <c r="U101" i="73"/>
  <c r="L101" i="73"/>
  <c r="I101" i="73"/>
  <c r="M68" i="73"/>
  <c r="I68" i="73"/>
  <c r="K68" i="73"/>
  <c r="H68" i="73"/>
  <c r="O68" i="73"/>
  <c r="L68" i="73"/>
  <c r="G68" i="73"/>
  <c r="F68" i="73"/>
  <c r="E68" i="73"/>
  <c r="P68" i="73"/>
  <c r="N68" i="73" l="1"/>
</calcChain>
</file>

<file path=xl/sharedStrings.xml><?xml version="1.0" encoding="utf-8"?>
<sst xmlns="http://schemas.openxmlformats.org/spreadsheetml/2006/main" count="1171" uniqueCount="501">
  <si>
    <t>-</t>
  </si>
  <si>
    <t>Água</t>
  </si>
  <si>
    <t>Esgoto</t>
  </si>
  <si>
    <t>1T16</t>
  </si>
  <si>
    <t>Pessoal</t>
  </si>
  <si>
    <t>Juros</t>
  </si>
  <si>
    <t>Diversas</t>
  </si>
  <si>
    <t>TOTAL</t>
  </si>
  <si>
    <t>Serviços de água</t>
  </si>
  <si>
    <t>Despesas gerais e administrativas</t>
  </si>
  <si>
    <t>Caixa e equivalentes de caixa</t>
  </si>
  <si>
    <t>1T17</t>
  </si>
  <si>
    <t>PPP do Rio Manso</t>
  </si>
  <si>
    <t>1T18</t>
  </si>
  <si>
    <t>4T17</t>
  </si>
  <si>
    <t>3T17</t>
  </si>
  <si>
    <t>2T17</t>
  </si>
  <si>
    <t>4T16</t>
  </si>
  <si>
    <t>3T16</t>
  </si>
  <si>
    <t>2T16</t>
  </si>
  <si>
    <t>Receitas de resíduos sólidos</t>
  </si>
  <si>
    <t xml:space="preserve">Total </t>
  </si>
  <si>
    <t>2T18</t>
  </si>
  <si>
    <t>Receita Operacional Líquida de Serviços</t>
  </si>
  <si>
    <t>Energia Elétrica</t>
  </si>
  <si>
    <t>Juros sobre Financiamentos</t>
  </si>
  <si>
    <t>Finame</t>
  </si>
  <si>
    <t>BNDES Empréstimo</t>
  </si>
  <si>
    <t>Debêntures de Mercado - 12ª Emissão</t>
  </si>
  <si>
    <t>3T18</t>
  </si>
  <si>
    <t>Debêntures de Mercado - 13ª Emissão</t>
  </si>
  <si>
    <t>4T18</t>
  </si>
  <si>
    <t>Aplicações financeiras resgatáveis acima de 90 dias</t>
  </si>
  <si>
    <t>Resultado Antes do Resultado Financeiro e dos Tributos</t>
  </si>
  <si>
    <t>Serviços de Esgoto</t>
  </si>
  <si>
    <t>Receitas de construção</t>
  </si>
  <si>
    <t>Custos de construção</t>
  </si>
  <si>
    <t>CUSTOS DOS SERVIÇOS VENDIDOS</t>
  </si>
  <si>
    <t>Estoques</t>
  </si>
  <si>
    <t>Impostos a recuperar</t>
  </si>
  <si>
    <t>Bancos e aplicações de convênios</t>
  </si>
  <si>
    <t>TOTAL DO ATIVO NÃO CIRCULANTE</t>
  </si>
  <si>
    <t>Empréstimos e financiamentos</t>
  </si>
  <si>
    <t>Debêntures</t>
  </si>
  <si>
    <t>Provisão para férias e 13º salário</t>
  </si>
  <si>
    <t>Parcelamento de impostos</t>
  </si>
  <si>
    <t>Obrigações de benefícios de aposentadoria</t>
  </si>
  <si>
    <t>Capital social realizado</t>
  </si>
  <si>
    <t>Ações em tesouraria</t>
  </si>
  <si>
    <t>Lucros acumulados</t>
  </si>
  <si>
    <t>Receitas de Construção</t>
  </si>
  <si>
    <t>Parceria Público Privada</t>
  </si>
  <si>
    <t>Variações Monetárias (Despesas)</t>
  </si>
  <si>
    <t>Variações Cambiais (Despesas)</t>
  </si>
  <si>
    <t>Custos dos serviços vendidos</t>
  </si>
  <si>
    <t>1T19</t>
  </si>
  <si>
    <t>2T19</t>
  </si>
  <si>
    <t>3T19</t>
  </si>
  <si>
    <t>4T19</t>
  </si>
  <si>
    <t>1T20</t>
  </si>
  <si>
    <t>2T20</t>
  </si>
  <si>
    <t>3T20</t>
  </si>
  <si>
    <t>IR e CSLL a pagar</t>
  </si>
  <si>
    <t>4T20</t>
  </si>
  <si>
    <t>Debêntures de Mercado - 15ª Emissão</t>
  </si>
  <si>
    <t>Caução em garantia de financiamentos</t>
  </si>
  <si>
    <t>1T21</t>
  </si>
  <si>
    <t>2T21</t>
  </si>
  <si>
    <t xml:space="preserve">Receitas Financeiras </t>
  </si>
  <si>
    <t>4T21</t>
  </si>
  <si>
    <t>3T21</t>
  </si>
  <si>
    <t>Debêntures de Mercado - 16ª Emissão</t>
  </si>
  <si>
    <t>1T22</t>
  </si>
  <si>
    <t>2T22</t>
  </si>
  <si>
    <t xml:space="preserve">CEMIG </t>
  </si>
  <si>
    <t xml:space="preserve">OUTRAS OBRIGAÇÕES </t>
  </si>
  <si>
    <t>IBM (R$)</t>
  </si>
  <si>
    <t>BNDES/DEBÊNTURES 11ª EMISSÃO</t>
  </si>
  <si>
    <t xml:space="preserve">DEBÊNTURES DE MERCADO 10ª EMISSÃO </t>
  </si>
  <si>
    <t xml:space="preserve">DEBÊNTURES DE MERCADO 9ª EMISSÃO </t>
  </si>
  <si>
    <t xml:space="preserve">BNDES/DEBÊNTURES 8ª EMISSÃO </t>
  </si>
  <si>
    <t xml:space="preserve">DEBÊNTURES DE MERCADO 7ª EMISSÃO </t>
  </si>
  <si>
    <t xml:space="preserve">BNDES/DEBÊNTURES 4ª EMISSÃO </t>
  </si>
  <si>
    <t xml:space="preserve">BNDES/DEBÊNTURES 3ª EMISSÃO </t>
  </si>
  <si>
    <t xml:space="preserve">BNDES/DEBÊNTURES 2ª EMISSÃO </t>
  </si>
  <si>
    <t xml:space="preserve">BNDES/DEBÊNTURES 1ª EMISSÃO </t>
  </si>
  <si>
    <t xml:space="preserve">NOTAS PROMISSÓRIAS </t>
  </si>
  <si>
    <t xml:space="preserve">TESOURO NACIONAL </t>
  </si>
  <si>
    <t xml:space="preserve">BDMG (SOMMA) </t>
  </si>
  <si>
    <t xml:space="preserve">Em moeda nacional 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</si>
  <si>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</si>
  <si>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</si>
  <si>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</si>
  <si>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</si>
  <si>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</si>
  <si>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</si>
  <si>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</si>
  <si>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</si>
  <si>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</si>
  <si>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</si>
  <si>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</si>
  <si>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</si>
  <si>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</si>
  <si>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</si>
  <si>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</si>
  <si>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</si>
  <si>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</si>
  <si>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</si>
  <si>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</si>
  <si>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</si>
  <si>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 xml:space="preserve">Custo de Captação </t>
  </si>
  <si>
    <t>(=) Total Empréstimos, Financiamentos e Debêntures</t>
  </si>
  <si>
    <t>(+) Passivo de Arrendamento Mercantil</t>
  </si>
  <si>
    <t>LIBERTAS (PREVIDÊNCIA COMPLEMENTAR)</t>
  </si>
  <si>
    <t>1ª SÉRIE (4ª)</t>
  </si>
  <si>
    <t>2ª SÉRIE  (4ª)</t>
  </si>
  <si>
    <t>1ª SÉRIE (8ª)</t>
  </si>
  <si>
    <t>2ª SÉRIE (8ª)</t>
  </si>
  <si>
    <t>1ª SÉRIE (11ª)</t>
  </si>
  <si>
    <t>2ª SÉRIE (11ª)</t>
  </si>
  <si>
    <t>1ª SÉRIE (12ª)</t>
  </si>
  <si>
    <t>2ª SÉRIE (12ª)</t>
  </si>
  <si>
    <t>2ª SÉRIE (13ª)</t>
  </si>
  <si>
    <t>3ª SÉRIE (13ª)</t>
  </si>
  <si>
    <t>1ª SÉRIE (14ª)</t>
  </si>
  <si>
    <t>2ª SÉRIE (14ª)</t>
  </si>
  <si>
    <t>1ª SÉRIE (15ª)</t>
  </si>
  <si>
    <t>1ª SÉRIE (16ª)</t>
  </si>
  <si>
    <t>2ª SÉRIE (16ª)</t>
  </si>
  <si>
    <t>Outras despesas operacionais</t>
  </si>
  <si>
    <t>Receitas financeiras</t>
  </si>
  <si>
    <t xml:space="preserve">Despesas financeiras </t>
  </si>
  <si>
    <t>Energia elétrica</t>
  </si>
  <si>
    <t>3T22</t>
  </si>
  <si>
    <t>Resultado da equivalência patrimonial</t>
  </si>
  <si>
    <t>Desenvolvimento Empresarial e Operacional</t>
  </si>
  <si>
    <t>4T22</t>
  </si>
  <si>
    <t>SÉRIE ÚNICA (17ª)</t>
  </si>
  <si>
    <t>Debêntures de Mercado - 17ª Emissão</t>
  </si>
  <si>
    <t>Dados Operacionais</t>
  </si>
  <si>
    <t>1T23</t>
  </si>
  <si>
    <t xml:space="preserve">  </t>
  </si>
  <si>
    <t>DRE e Breakdown</t>
  </si>
  <si>
    <t>DRE (milhares de Reais)</t>
  </si>
  <si>
    <t>Receitas (milhares de R$)</t>
  </si>
  <si>
    <t>Outras receitas operacionais</t>
  </si>
  <si>
    <t>Despesas/Receitas Operacionais</t>
  </si>
  <si>
    <t>Despesas financeiras</t>
  </si>
  <si>
    <t xml:space="preserve"> Breakdown da DRE (milhares de Reais)</t>
  </si>
  <si>
    <t>Receita líquida de água</t>
  </si>
  <si>
    <t>Receita líquida de esgoto</t>
  </si>
  <si>
    <t>Receita (despesa) de construção líquida</t>
  </si>
  <si>
    <t>Depreciações e amortizações</t>
  </si>
  <si>
    <t>Repasse tarifário a municípios</t>
  </si>
  <si>
    <t>Custos dos Serviços Prestados + Despesas Comerciais Administrativas (sem depreciações /amortizações)</t>
  </si>
  <si>
    <t>Ganho real em aplicações financeiras</t>
  </si>
  <si>
    <t>Capitalização de ativos financeiros/outros</t>
  </si>
  <si>
    <t>Total de Receitas Financeiras</t>
  </si>
  <si>
    <t>Total de despesas financeiras</t>
  </si>
  <si>
    <t>Resultado líquido do período</t>
  </si>
  <si>
    <t>Balanço Patrimonial</t>
  </si>
  <si>
    <t>Todos os valores expressos estão em milhares de Reais</t>
  </si>
  <si>
    <t>ATIVO (milhares de R$)</t>
  </si>
  <si>
    <t xml:space="preserve"> Circulante </t>
  </si>
  <si>
    <t xml:space="preserve">Total do Ativo Circulante </t>
  </si>
  <si>
    <t xml:space="preserve">Não circulante </t>
  </si>
  <si>
    <t xml:space="preserve">Total do Ativo </t>
  </si>
  <si>
    <t>PASSIVO (Milhares de R$)</t>
  </si>
  <si>
    <t xml:space="preserve">Passivo Circulante </t>
  </si>
  <si>
    <t>Provisão tributária</t>
  </si>
  <si>
    <t xml:space="preserve">Total do passivo circulante </t>
  </si>
  <si>
    <t xml:space="preserve">Passivo Não circulante </t>
  </si>
  <si>
    <t>Provisão para perdas em investimentos</t>
  </si>
  <si>
    <t>Imposto de renda e contribuição social diferidos</t>
  </si>
  <si>
    <t xml:space="preserve"> Total do passivo não circulante </t>
  </si>
  <si>
    <t xml:space="preserve"> Patrimônio líquido </t>
  </si>
  <si>
    <t>Reservas de capital</t>
  </si>
  <si>
    <t>Recursos para Aumento de Capital</t>
  </si>
  <si>
    <t xml:space="preserve"> Total do patrimônio líquido </t>
  </si>
  <si>
    <t xml:space="preserve"> Total do passivo e patrimônio líquido  </t>
  </si>
  <si>
    <t>Investimentos Anuais</t>
  </si>
  <si>
    <t xml:space="preserve">Captação do Paraopeba </t>
  </si>
  <si>
    <t xml:space="preserve"> PPP do Rio Manso</t>
  </si>
  <si>
    <t>(2) Até 05/2016, os recursos dessa subsidiária eram oriundos do Fundo Estadual de Saúde.</t>
  </si>
  <si>
    <t xml:space="preserve">Breakdown por categoria de consumidor </t>
  </si>
  <si>
    <t xml:space="preserve">  Faturamento de Abastecimento de Água (%)</t>
  </si>
  <si>
    <t xml:space="preserve">Residencial </t>
  </si>
  <si>
    <t xml:space="preserve">Comercial, serviços e outros </t>
  </si>
  <si>
    <t xml:space="preserve">Industrial </t>
  </si>
  <si>
    <t xml:space="preserve">Poderes públicos </t>
  </si>
  <si>
    <t xml:space="preserve"> Faturamento de Esgotamento Sanitário (%)</t>
  </si>
  <si>
    <t xml:space="preserve"> Volume Faturado de  Abastecimento de Água (%)</t>
  </si>
  <si>
    <t xml:space="preserve">Poderes Públicos </t>
  </si>
  <si>
    <t xml:space="preserve"> Volume Faturado de Serviços de Esgoto (%)</t>
  </si>
  <si>
    <t>Nº de Unidades (Economias) de Abastecimento de Água (%)</t>
  </si>
  <si>
    <t>Nº de Unidades (Economias) de  Serviços de Esgoto (%)</t>
  </si>
  <si>
    <t xml:space="preserve">Longo Prazo </t>
  </si>
  <si>
    <t>FINAME</t>
  </si>
  <si>
    <t xml:space="preserve">Endividamento </t>
  </si>
  <si>
    <t>Todos os valores expressos estão em milhares de Reais.</t>
  </si>
  <si>
    <t>Linhas de financiamentos</t>
  </si>
  <si>
    <t>Curto Prazo</t>
  </si>
  <si>
    <t>Em moeda nacional (milhares de R$)</t>
  </si>
  <si>
    <t>RECURSOS FGTS</t>
  </si>
  <si>
    <t xml:space="preserve">BNDES/BNE </t>
  </si>
  <si>
    <t>BNDES/DEBÊNTURES 3ª EMISSÃO</t>
  </si>
  <si>
    <t xml:space="preserve">1ª SERIE </t>
  </si>
  <si>
    <t xml:space="preserve">2ª SERIE </t>
  </si>
  <si>
    <t xml:space="preserve">3ª SERIE </t>
  </si>
  <si>
    <t xml:space="preserve">CAIXA/DEBÊNTURES 5ª EMISSÃO </t>
  </si>
  <si>
    <t xml:space="preserve">DEBÊNTURES DE MERCADO - 6ª EMISSÃO </t>
  </si>
  <si>
    <t xml:space="preserve">DEBÊNTURES DE MERCADO - 7ª EMISSÃO </t>
  </si>
  <si>
    <t>2ª SERIE</t>
  </si>
  <si>
    <t xml:space="preserve">DEBÊNTURES DE MERCADO - 9ª EMISSÃO </t>
  </si>
  <si>
    <t>DEBÊNTURES DE MERCADO - 10ª EMISSÃO</t>
  </si>
  <si>
    <t xml:space="preserve">DEBÊNTURES DE MERCADO - 12ª EMISSÃO </t>
  </si>
  <si>
    <t xml:space="preserve">1ª SÉRIE </t>
  </si>
  <si>
    <t xml:space="preserve">2ª SÉRIE </t>
  </si>
  <si>
    <t>DEBÊNTURES DE MERCADO - 13ª EMISSÃO</t>
  </si>
  <si>
    <t>1ª SÉRIE</t>
  </si>
  <si>
    <t>2ª SÉRIE</t>
  </si>
  <si>
    <t>3ª SÉRIE</t>
  </si>
  <si>
    <t>DEBÊNTURES DE MERCADO - 14ª EMISSÃO</t>
  </si>
  <si>
    <t>DEBÊNTURES DE MERCADO - 15ª EMISSÃO</t>
  </si>
  <si>
    <t>DEBÊNTURES DE MERCADO - 16ª EMISSÃO</t>
  </si>
  <si>
    <t>LIBERTAS (PREVIDENCIA COMPLEMENTAR)</t>
  </si>
  <si>
    <t>Curto Prazo em Moeda nacional</t>
  </si>
  <si>
    <t xml:space="preserve">Curto prazo em Moeda Estrangeira </t>
  </si>
  <si>
    <t>BANCO DO BRASIL (BNY) (contrato em Dólar)</t>
  </si>
  <si>
    <t>KFW (contrato em Euro)</t>
  </si>
  <si>
    <t>Banco Europeu de Investimento (BEI) (contrato em Euro)</t>
  </si>
  <si>
    <t>TOTAL CURTO PRAZO (MOEDA Nacional + Estrangeira)</t>
  </si>
  <si>
    <t xml:space="preserve">RECURSOS FGTS </t>
  </si>
  <si>
    <t xml:space="preserve">FINAME </t>
  </si>
  <si>
    <t xml:space="preserve">DEBÊNTURES DE MERCADO 6ª EMISSÃO </t>
  </si>
  <si>
    <t>OUTRAS OBRIGAÇÕES</t>
  </si>
  <si>
    <t>CEMIG</t>
  </si>
  <si>
    <t xml:space="preserve">Total longo prazo - moeda nacional </t>
  </si>
  <si>
    <t>Longo prazo em moeda estrangeira</t>
  </si>
  <si>
    <t>Banco Europeu de Investimentos (BEI) (contrato em Euro)</t>
  </si>
  <si>
    <t>TOTAL LONGO PRAZO (Moeda Nacional + Estrangeira)</t>
  </si>
  <si>
    <t xml:space="preserve">Empréstimos, Financiamentos, Debêntures e Passivo de Arrendamento Mercantil </t>
  </si>
  <si>
    <t>Em moeda nacional (Empréstimos, Financiamentos e Debêntures)</t>
  </si>
  <si>
    <t xml:space="preserve">3ª SÉRIE (4ª) </t>
  </si>
  <si>
    <t>Empréstimos, Financiamentos e Debêntures - Moeda nacional</t>
  </si>
  <si>
    <t xml:space="preserve">Empréstimo em moeda estrangeira </t>
  </si>
  <si>
    <t>(1) Recursos FGTS: Caixa Econômica Federal.</t>
  </si>
  <si>
    <r>
      <t>Recursos FGTS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</si>
  <si>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(1) - A população atendida de água e esgoto foi revisada. Vi</t>
    </r>
    <r>
      <rPr>
        <sz val="11"/>
        <rFont val="Calibri"/>
        <family val="2"/>
        <scheme val="minor"/>
      </rPr>
      <t>de Comunicado ao Mercado</t>
    </r>
    <r>
      <rPr>
        <sz val="11"/>
        <color theme="1"/>
        <rFont val="Calibri"/>
        <family val="2"/>
        <scheme val="minor"/>
      </rPr>
      <t xml:space="preserve"> divulgado no dia 25/11/2015. </t>
    </r>
  </si>
  <si>
    <r>
      <t xml:space="preserve">Dados </t>
    </r>
    <r>
      <rPr>
        <b/>
        <vertAlign val="superscript"/>
        <sz val="12"/>
        <color theme="0"/>
        <rFont val="Calibri"/>
        <family val="2"/>
        <scheme val="minor"/>
      </rPr>
      <t>(1)</t>
    </r>
  </si>
  <si>
    <r>
      <t xml:space="preserve">Capitalizações </t>
    </r>
    <r>
      <rPr>
        <vertAlign val="superscript"/>
        <sz val="11"/>
        <color rgb="FF000000"/>
        <rFont val="Calibri"/>
        <family val="2"/>
        <scheme val="minor"/>
      </rPr>
      <t>(1)</t>
    </r>
  </si>
  <si>
    <r>
      <t>Participação dos empregados nos lucros</t>
    </r>
    <r>
      <rPr>
        <sz val="11"/>
        <color theme="0"/>
        <rFont val="Calibri"/>
        <family val="2"/>
        <scheme val="minor"/>
      </rPr>
      <t>.</t>
    </r>
  </si>
  <si>
    <t xml:space="preserve">Resultado Financeiro Líquido </t>
  </si>
  <si>
    <t>DEBÊNTURES DE MERCADO - 14ª Emissão</t>
  </si>
  <si>
    <t>BNDES/DEBÊNTURES - 1ª Emissão</t>
  </si>
  <si>
    <t>BNDES/DEBÊNTURES - 2ª Emissão</t>
  </si>
  <si>
    <t xml:space="preserve">BNDES/DEBÊNTURES - 3ª Emissão </t>
  </si>
  <si>
    <t>BNDES/DEBÊNTURES - 4ª Emissão</t>
  </si>
  <si>
    <t>Caixa/Debêntures - 5ª Emissão</t>
  </si>
  <si>
    <t>DEBÊNTURES DE MERCADO - 6ª Emissão</t>
  </si>
  <si>
    <t>DEBÊNTURES DE MERCADO - 7ª Emissão</t>
  </si>
  <si>
    <t>BNDES/Debêntures - 8ª Emissão</t>
  </si>
  <si>
    <t>DEBÊNTURES DE MERCADO - 9ª Emissão</t>
  </si>
  <si>
    <t>DEBÊNTURES DE MERCADO - 10ª Emissão</t>
  </si>
  <si>
    <t>BNDES/Debêntures - 11ª Emissão</t>
  </si>
  <si>
    <t>(1) A Companhia aprimorou os critérios de divulgação dos valores investidos, visando à convergência aos conceitos contábeis e regulatórios, com a inclusão de capitalização de juros, capitalização de gastos de pessoal, materiais e outros, relacionados às obras realizadas nos sistemas de abastecimento de água e esgotamento sanitário, bem como ao desenvolvimento empresarial e operacional. Inclui Capitalização de Juros, Gastos de Pessoal, Materiais e Outros</t>
  </si>
  <si>
    <t>Relações com Investidores</t>
  </si>
  <si>
    <t xml:space="preserve">             Dividendos</t>
  </si>
  <si>
    <t>Exercício</t>
  </si>
  <si>
    <t>Evento Societário/Data</t>
  </si>
  <si>
    <r>
      <t>Tipo de Remuneração</t>
    </r>
    <r>
      <rPr>
        <b/>
        <vertAlign val="superscript"/>
        <sz val="9"/>
        <color theme="0"/>
        <rFont val="Arial"/>
        <family val="2"/>
      </rPr>
      <t>(2)</t>
    </r>
  </si>
  <si>
    <t>Valor em Reais (R$)</t>
  </si>
  <si>
    <r>
      <t>Valor por ação (R$)</t>
    </r>
    <r>
      <rPr>
        <b/>
        <vertAlign val="superscript"/>
        <sz val="9"/>
        <color theme="0"/>
        <rFont val="Arial"/>
        <family val="2"/>
      </rPr>
      <t>(3)</t>
    </r>
  </si>
  <si>
    <t>Data do direito (data corte)</t>
  </si>
  <si>
    <t>Data do Pagamento</t>
  </si>
  <si>
    <t>Exercício de 2023</t>
  </si>
  <si>
    <t>RCA 17/03/2023</t>
  </si>
  <si>
    <t>JCP 1T23</t>
  </si>
  <si>
    <t>Total do Exercício de 2023</t>
  </si>
  <si>
    <t>Exercício de 2022</t>
  </si>
  <si>
    <t>RCA 17/03/2022</t>
  </si>
  <si>
    <t>JCP 1T22</t>
  </si>
  <si>
    <t>RCA 15/06/2022</t>
  </si>
  <si>
    <t>JCP 2T22</t>
  </si>
  <si>
    <t>RCA 15/09/2022</t>
  </si>
  <si>
    <t>JCP 3T22</t>
  </si>
  <si>
    <t>JCP 4T22</t>
  </si>
  <si>
    <t>Total Exercício de 2022</t>
  </si>
  <si>
    <t>Exercício de 2021</t>
  </si>
  <si>
    <t>RCA 19/03/2021</t>
  </si>
  <si>
    <t>JCP 1T21</t>
  </si>
  <si>
    <t>RCA 17/06/2021</t>
  </si>
  <si>
    <t>JCP 2T21</t>
  </si>
  <si>
    <t>RCA 21/09/2021</t>
  </si>
  <si>
    <t>JCP 3T21</t>
  </si>
  <si>
    <t>Dividendos 3T21</t>
  </si>
  <si>
    <t>Total Exercício de 2021</t>
  </si>
  <si>
    <t>Exercício de 2020</t>
  </si>
  <si>
    <t>RCA 20/03/2020</t>
  </si>
  <si>
    <t>JCP 1T20</t>
  </si>
  <si>
    <t>RCA 18/06/2020</t>
  </si>
  <si>
    <t>JCP 2T20</t>
  </si>
  <si>
    <t>RCA 17/09/2020</t>
  </si>
  <si>
    <t>JCP 3T20</t>
  </si>
  <si>
    <t>AGE 19/11/2020</t>
  </si>
  <si>
    <t>Dividendos Extraordinários</t>
  </si>
  <si>
    <t>RCA 25/02/2021</t>
  </si>
  <si>
    <t>JCP 4T20</t>
  </si>
  <si>
    <t>Total Exercício de 2020</t>
  </si>
  <si>
    <t>Exercício de 2019</t>
  </si>
  <si>
    <t>RCA 21/03/2019</t>
  </si>
  <si>
    <t>JCP 1T19</t>
  </si>
  <si>
    <t>RCA 14/06/2019</t>
  </si>
  <si>
    <t>JCP 2T19</t>
  </si>
  <si>
    <t>RCA 19/09/2019</t>
  </si>
  <si>
    <t>JCP 3T19</t>
  </si>
  <si>
    <t>RCA 19/03/2020</t>
  </si>
  <si>
    <t>JCP 4T19</t>
  </si>
  <si>
    <t>Total Exercício de 2019</t>
  </si>
  <si>
    <t>Exercício de 2018</t>
  </si>
  <si>
    <t>RCA 21/03/2018</t>
  </si>
  <si>
    <t xml:space="preserve">JCP </t>
  </si>
  <si>
    <t>AGE 07/05/2018</t>
  </si>
  <si>
    <t xml:space="preserve">Dividendos extraordinários </t>
  </si>
  <si>
    <t>RCA 20/06/2018</t>
  </si>
  <si>
    <t>RCA 19/09/2018</t>
  </si>
  <si>
    <t>RCA 28/02/2019</t>
  </si>
  <si>
    <t>Total Exercício de 2018</t>
  </si>
  <si>
    <t>Exercício de 2017</t>
  </si>
  <si>
    <t>RCA 16/03/2017</t>
  </si>
  <si>
    <t>RCA 14/06/2017</t>
  </si>
  <si>
    <t>RCA 20/09/2017</t>
  </si>
  <si>
    <t>AGE 17/11/2017</t>
  </si>
  <si>
    <t>30.11.2017</t>
  </si>
  <si>
    <t>RCA 22/02/2018</t>
  </si>
  <si>
    <t>Total Exercício de 2017</t>
  </si>
  <si>
    <t>Exercício de 2016</t>
  </si>
  <si>
    <t>RCA 05/05/2016</t>
  </si>
  <si>
    <t>RCA 11/08/2016</t>
  </si>
  <si>
    <t>RCA 09/11/2016</t>
  </si>
  <si>
    <t>RCA 09/03/2017</t>
  </si>
  <si>
    <t>Total Exercício de 2016</t>
  </si>
  <si>
    <t>Exercício de 2015</t>
  </si>
  <si>
    <t>RCA 07/05/2015</t>
  </si>
  <si>
    <t>RCA 06/08/2015</t>
  </si>
  <si>
    <t>RCA 05/11/2015</t>
  </si>
  <si>
    <t>Total Exercício de 2015</t>
  </si>
  <si>
    <t>Exercício de 2014</t>
  </si>
  <si>
    <t>RCA 21/03/2014</t>
  </si>
  <si>
    <t>RCA 23/06/2014</t>
  </si>
  <si>
    <t>RCA 19/09/2014</t>
  </si>
  <si>
    <t>RCA 18/03/2015</t>
  </si>
  <si>
    <t>Total Exercício de 2014</t>
  </si>
  <si>
    <t>Exercício de 2013</t>
  </si>
  <si>
    <t>RCA 18/03/2013</t>
  </si>
  <si>
    <t>RCA 24/06/2013</t>
  </si>
  <si>
    <t>RCA 20/09/2013</t>
  </si>
  <si>
    <t>RCA 29/01/2014</t>
  </si>
  <si>
    <t>Total Exercício de 2013</t>
  </si>
  <si>
    <r>
      <t>Exercício de 2012</t>
    </r>
    <r>
      <rPr>
        <b/>
        <vertAlign val="superscript"/>
        <sz val="9"/>
        <color theme="1"/>
        <rFont val="Arial"/>
        <family val="2"/>
      </rPr>
      <t>(1)</t>
    </r>
  </si>
  <si>
    <t>RCA 16/03/2012</t>
  </si>
  <si>
    <t>RCA 18/06/2012</t>
  </si>
  <si>
    <t>RCA 14/09/2012</t>
  </si>
  <si>
    <t>RCA 22/02/2013</t>
  </si>
  <si>
    <t>Total Exercício de 2012</t>
  </si>
  <si>
    <r>
      <t>Exercício de 2011</t>
    </r>
    <r>
      <rPr>
        <b/>
        <vertAlign val="superscript"/>
        <sz val="9"/>
        <color theme="1"/>
        <rFont val="Arial"/>
        <family val="2"/>
      </rPr>
      <t xml:space="preserve"> (1)</t>
    </r>
  </si>
  <si>
    <t>RCA 25/03/2011</t>
  </si>
  <si>
    <t xml:space="preserve"> 23/05/2011</t>
  </si>
  <si>
    <t>RCA 27/06/2011</t>
  </si>
  <si>
    <t>RCA 16/09/2011</t>
  </si>
  <si>
    <t>RCA 29/02/2012</t>
  </si>
  <si>
    <t>Total Exercício de 2011</t>
  </si>
  <si>
    <t>Exercício de 2010</t>
  </si>
  <si>
    <t>RCA 26/03/2010</t>
  </si>
  <si>
    <t>RCA 28/06/2010</t>
  </si>
  <si>
    <t>RCA 28/09/2010</t>
  </si>
  <si>
    <t>RCA 11/03/2011</t>
  </si>
  <si>
    <t>Total Exercício de 2010</t>
  </si>
  <si>
    <r>
      <t>Exercício de 2009</t>
    </r>
    <r>
      <rPr>
        <b/>
        <vertAlign val="superscript"/>
        <sz val="9"/>
        <color theme="1"/>
        <rFont val="Arial"/>
        <family val="2"/>
      </rPr>
      <t xml:space="preserve"> (1) </t>
    </r>
  </si>
  <si>
    <t>RCA 27/03/2009</t>
  </si>
  <si>
    <t>RCA 26/06/2009</t>
  </si>
  <si>
    <t>RCA 24/09/2009</t>
  </si>
  <si>
    <t>Total Exercício de 2009</t>
  </si>
  <si>
    <r>
      <t xml:space="preserve">Exercício de 2008 </t>
    </r>
    <r>
      <rPr>
        <b/>
        <vertAlign val="superscript"/>
        <sz val="9"/>
        <color theme="1"/>
        <rFont val="Arial"/>
        <family val="2"/>
      </rPr>
      <t>(1)</t>
    </r>
  </si>
  <si>
    <t>RCA 25/07/2008</t>
  </si>
  <si>
    <t>RCA 19/09/2008</t>
  </si>
  <si>
    <t>Total Exercício de 2008</t>
  </si>
  <si>
    <t>Exercício de 2007</t>
  </si>
  <si>
    <t>RCA 25/05/2007</t>
  </si>
  <si>
    <t>RCA 31/08/2007</t>
  </si>
  <si>
    <t>RCA 19/03/2008</t>
  </si>
  <si>
    <t>Total Exercício de 2007</t>
  </si>
  <si>
    <t>Exercício de 2006</t>
  </si>
  <si>
    <t>RCA 12/05/2006</t>
  </si>
  <si>
    <t>RCA 14/07/2006</t>
  </si>
  <si>
    <t>RCA 30/10/2006</t>
  </si>
  <si>
    <t>RCA 23/03/2007</t>
  </si>
  <si>
    <t>Total Exercício de 2006</t>
  </si>
  <si>
    <t>(1) Períodos com distribuição pro-rata, cujos valores não estão contemplados na tabela.</t>
  </si>
  <si>
    <t xml:space="preserve">(2) Os valores declarados como JCP foram imputados aos dividendos mínimos obrigatórios dos respectivos exercícios. </t>
  </si>
  <si>
    <t>(3) Valor Ajustado. A partir de 26/11/2020, as ações passaram a ser negociadas ex-desdobramento. Dessa forma, os proventos anteriores a essa data foram divididos por 3.</t>
  </si>
  <si>
    <t>RCA 16/06/2023</t>
  </si>
  <si>
    <t>JCP 2T23</t>
  </si>
  <si>
    <t>RCA 17/03/2023</t>
  </si>
  <si>
    <t>2T23</t>
  </si>
  <si>
    <t>JCP 3T23</t>
  </si>
  <si>
    <t>RCA 15/09/2023</t>
  </si>
  <si>
    <t>3T23</t>
  </si>
  <si>
    <t>DEBÊNTURES DE MERCADO - 18ª Emissão</t>
  </si>
  <si>
    <t>1ª SÉRIE (18ª)</t>
  </si>
  <si>
    <t>2ª SÉRIE (18ª)</t>
  </si>
  <si>
    <t>(2) Nos contratos  em moeda estrangeira incide, adicionamente, taxa de disponibilidade (0,25% a.a.) sobre o saldo a desembolsar.</t>
  </si>
  <si>
    <r>
      <t>BANCO DO BRASIL (BNY) (contrato em Dólar)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</si>
  <si>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Banco Europeu de Investimentos (BEI) (contrato em Euro) 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</si>
  <si>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 xml:space="preserve">KFW (contrato em Euro) </t>
    </r>
    <r>
      <rPr>
        <vertAlign val="superscript"/>
        <sz val="11"/>
        <color theme="1"/>
        <rFont val="Calibri"/>
        <family val="2"/>
        <scheme val="minor"/>
      </rPr>
      <t>(2)</t>
    </r>
  </si>
  <si>
    <t>Dividendos extraordinários</t>
  </si>
  <si>
    <t>AGE 13/12/2023</t>
  </si>
  <si>
    <t>JCP 4T23</t>
  </si>
  <si>
    <t>RCA 15/12/2023</t>
  </si>
  <si>
    <t>14/11/2023 </t>
  </si>
  <si>
    <t>a ser definida em AGO</t>
  </si>
  <si>
    <t>Contas a receber de clientes</t>
  </si>
  <si>
    <t>Cauções em garantias de empréstimos, financiamentos e debêntures</t>
  </si>
  <si>
    <t>Ativos financeiros - contratos de concessão</t>
  </si>
  <si>
    <t>Fornecedores</t>
  </si>
  <si>
    <t>Obrigações - arrendamento mercantil</t>
  </si>
  <si>
    <t>Impostos, taxas, contribuições e obrigações sociais e trabalhistas</t>
  </si>
  <si>
    <t>Participação dos empregados nos lucros</t>
  </si>
  <si>
    <t>Dividendos e Juros sobre o capital próprio a pagar</t>
  </si>
  <si>
    <t>Reservas de lucros</t>
  </si>
  <si>
    <t>Ajustes de avaliação patrimonial</t>
  </si>
  <si>
    <t>Provisão para demandas judiciais</t>
  </si>
  <si>
    <t>Parceria público privada</t>
  </si>
  <si>
    <t>Convênio de cooperação técnica (LP)</t>
  </si>
  <si>
    <t>Aplicação financeira vinculada</t>
  </si>
  <si>
    <t xml:space="preserve"> Direitos de uso de Arrendamento Mercantil</t>
  </si>
  <si>
    <t xml:space="preserve"> Intangível</t>
  </si>
  <si>
    <t xml:space="preserve"> Imobilizado</t>
  </si>
  <si>
    <t>Créditos com controladas</t>
  </si>
  <si>
    <t xml:space="preserve">Outros ativos </t>
  </si>
  <si>
    <t>Lucro Bruto</t>
  </si>
  <si>
    <t>Lucro Líquido do Período</t>
  </si>
  <si>
    <t>Lucros antes dos Impostos</t>
  </si>
  <si>
    <t>Despesas Financeiras, Líquidas</t>
  </si>
  <si>
    <t>Perdas de crédito esperadas das contas a receber de clientes</t>
  </si>
  <si>
    <t xml:space="preserve">Despesas com vendas </t>
  </si>
  <si>
    <t>Dados operacionais</t>
  </si>
  <si>
    <t>4T23</t>
  </si>
  <si>
    <r>
      <t>Imposto de renda e contribuição social correntes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</si>
  <si>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 xml:space="preserve">Imposto de renda e contribuição social diferidos </t>
    </r>
    <r>
      <rPr>
        <vertAlign val="superscript"/>
        <sz val="11"/>
        <rFont val="Calibri"/>
        <family val="2"/>
        <scheme val="minor"/>
      </rPr>
      <t>(1)</t>
    </r>
  </si>
  <si>
    <t>(1) Os valores do imposto de renda e contribuição social correntes e diferidos dos trimestres anteriores ao 4T18 estão agrupados</t>
  </si>
  <si>
    <t>(1) Os valores referentes a imposto de renda e contribuição social correntes e diferidos dos trimestres anteriores ao 4T18 foram agrupados.</t>
  </si>
  <si>
    <t xml:space="preserve">   Volume de Esgoto Tratado (1.000 m³) (Copasa)</t>
  </si>
  <si>
    <t>Número de Empregados (Copasa)</t>
  </si>
  <si>
    <t xml:space="preserve">  Dias de Consumo (trimestre) (Copasa) (2)</t>
  </si>
  <si>
    <t>(2) - Dias de consumo: refere-se à quantidade de dias entre a leitura inicial e final para apuração do consumo medido. Esse valor reflete a média da operação da Copasa MG como um todo, tendo em vista que cada localidade possui período de dias de consumo específico.</t>
  </si>
  <si>
    <t>Investimentos - Copasa (R$ Milhões)</t>
  </si>
  <si>
    <t>(1) - Não estão incluídos os dados referentes à subsidiária Copanor.</t>
  </si>
  <si>
    <t xml:space="preserve">  Nº. de Ligações - Água (Copasa + Copanor) (1.000)</t>
  </si>
  <si>
    <t xml:space="preserve">  Nº. de Ligações - Esgoto (Copasa + Copanor) (1.000)</t>
  </si>
  <si>
    <t xml:space="preserve">  Nº. de Economias - Água (Copasa + Copanor)  (1.000)</t>
  </si>
  <si>
    <t xml:space="preserve">  Nº. de Economias - Esgoto (Copasa + Copanor)  (1.000)</t>
  </si>
  <si>
    <t xml:space="preserve">  Volume Medido - Água (Copasa + Copanor)  (1.000 m³)</t>
  </si>
  <si>
    <t xml:space="preserve">  Volume Medido - Esgoto (Copasa + Copanor) (1.000 m³)</t>
  </si>
  <si>
    <t xml:space="preserve">   Volume Distribuído Água (1.000 m³)  (Copasa + Copanor)</t>
  </si>
  <si>
    <t>Extensão de Rede - Água (km) (Copasa + Copanor)</t>
  </si>
  <si>
    <t>Extensão de Rede - Esgoto (km) (Copasa + Copanor)</t>
  </si>
  <si>
    <t>Nº. de Municípios - Concessão Água (Copasa + Copanor)</t>
  </si>
  <si>
    <t>Nº. de Municípios - Operação Água (Copasa + Copanor)</t>
  </si>
  <si>
    <t>Nº. de Municípios - Concessão Esgoto (Copasa + Copanor)</t>
  </si>
  <si>
    <t>Nº. de Municípios - Operação Esgoto (Copasa + Copanor)</t>
  </si>
  <si>
    <t xml:space="preserve">População Atendida - Água (mil) (Copasa + Copanor) (1) </t>
  </si>
  <si>
    <t xml:space="preserve">   População Atendida - Esgoto (mil) (Copasa + Copanor) (1) </t>
  </si>
  <si>
    <t>Investimento -  Copanor (R$ Milhões) (2)</t>
  </si>
  <si>
    <t>Total Copasa + Copanor</t>
  </si>
  <si>
    <t xml:space="preserve">Receita líquida de água, esgoto e resíduos sólidos </t>
  </si>
  <si>
    <t>Custos dos Serviços Prestados + Despesas de Vendas e Administrativas</t>
  </si>
  <si>
    <t>Serviços de terceiros, incluindo telecomunicações</t>
  </si>
  <si>
    <t>(2) Representa o somatório dos valores referentes a Material, Material de Tratamento e Combustíveis e Lubrificantes.</t>
  </si>
  <si>
    <t>Custos operacionais diversos e cobrança recursos hídricos</t>
  </si>
  <si>
    <t xml:space="preserve">Créditos tributários </t>
  </si>
  <si>
    <t>Perda por redução ao valor recuperável de contas a receber</t>
  </si>
  <si>
    <t>(3) A partir do 4T19 os valores referentes à "Participação nos Lucros" passaram a ser contabilizados na linha "Pessoal".</t>
  </si>
  <si>
    <r>
      <t xml:space="preserve">Participação dos empregados nos lucros </t>
    </r>
    <r>
      <rPr>
        <vertAlign val="superscript"/>
        <sz val="11"/>
        <color theme="1"/>
        <rFont val="Calibri"/>
        <family val="2"/>
        <scheme val="minor"/>
      </rPr>
      <t xml:space="preserve">(3) </t>
    </r>
  </si>
  <si>
    <r>
      <t xml:space="preserve">Material </t>
    </r>
    <r>
      <rPr>
        <vertAlign val="superscript"/>
        <sz val="11"/>
        <color theme="1"/>
        <rFont val="Calibri"/>
        <family val="2"/>
        <scheme val="minor"/>
      </rPr>
      <t>(2)</t>
    </r>
  </si>
  <si>
    <t>Variações Monetárias</t>
  </si>
  <si>
    <t xml:space="preserve">Variações Cambiais </t>
  </si>
  <si>
    <t>Imposto de Renda e Contribuição Social Correntes</t>
  </si>
  <si>
    <t>Imposto de Renda e Contribuição Social Diferidos</t>
  </si>
  <si>
    <t>Convênio de cooperação técnica</t>
  </si>
  <si>
    <t>Outros ativos</t>
  </si>
  <si>
    <t>Ativo de contrato</t>
  </si>
  <si>
    <t>Investimentos</t>
  </si>
  <si>
    <t>Outros passivos</t>
  </si>
  <si>
    <t>Agência Francesa de Desenvolvimento (AFD)</t>
  </si>
  <si>
    <t>Dividendos 4T23</t>
  </si>
  <si>
    <t>RCA 20/03/2024</t>
  </si>
  <si>
    <t>Total do Exercício de 2024</t>
  </si>
  <si>
    <t>Exercício de 2024</t>
  </si>
  <si>
    <t>JCP 1T24</t>
  </si>
  <si>
    <t>Dividendos 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</si>
</sst>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0.0"/>
    <numFmt numFmtId="168" formatCode="#,##0\ ;&quot; (&quot;#,##0\);&quot; -&quot;#\ ;@"/>
    <numFmt numFmtId="169" formatCode="#,##0.00\ ;&quot; (&quot;#,##0.00\);&quot; -&quot;#\ ;@\ "/>
    <numFmt numFmtId="170" formatCode="0.0000000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8"/>
      <color rgb="FF2F75B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vertAlign val="superscript"/>
      <sz val="12"/>
      <color theme="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1"/>
      <name val="Arial"/>
      <family val="2"/>
    </font>
    <font>
      <sz val="12"/>
      <color theme="0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name val="Times New Roman"/>
      <family val="1"/>
    </font>
    <font>
      <b/>
      <sz val="24"/>
      <color rgb="FF15315E"/>
      <name val="Calibri"/>
      <family val="2"/>
      <scheme val="minor"/>
    </font>
    <font>
      <b/>
      <sz val="28"/>
      <color rgb="FF15315E"/>
      <name val="Calibri"/>
      <family val="2"/>
      <scheme val="minor"/>
    </font>
    <font>
      <b/>
      <sz val="24"/>
      <color rgb="FF15315E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15315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9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15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0" fontId="3" fillId="0" borderId="0"/>
    <xf numFmtId="0" fontId="3" fillId="0" borderId="0"/>
    <xf numFmtId="0" fontId="4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" fillId="0" borderId="0"/>
    <xf numFmtId="0" fontId="19" fillId="0" borderId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0" borderId="0"/>
    <xf numFmtId="43" fontId="3" fillId="0" borderId="0" applyFont="0" applyFill="0" applyBorder="0" applyAlignment="0" applyProtection="0"/>
  </cellStyleXfs>
  <cellXfs count="369">
    <xf numFmtId="0" fontId="0" fillId="0" borderId="0" xfId="0"/>
    <xf numFmtId="0" fontId="0" fillId="2" borderId="0" xfId="0" applyFill="1"/>
    <xf numFmtId="168" fontId="0" fillId="0" borderId="0" xfId="0" applyNumberFormat="1"/>
    <xf numFmtId="168" fontId="1" fillId="2" borderId="0" xfId="0" applyNumberFormat="1" applyFont="1" applyFill="1" applyAlignment="1">
      <alignment horizontal="right" wrapText="1"/>
    </xf>
    <xf numFmtId="168" fontId="26" fillId="2" borderId="0" xfId="0" applyNumberFormat="1" applyFont="1" applyFill="1" applyAlignment="1">
      <alignment horizontal="center" vertical="center"/>
    </xf>
    <xf numFmtId="0" fontId="28" fillId="2" borderId="0" xfId="0" applyFont="1" applyFill="1"/>
    <xf numFmtId="168" fontId="0" fillId="3" borderId="0" xfId="0" applyNumberFormat="1" applyFill="1" applyAlignment="1">
      <alignment horizontal="right"/>
    </xf>
    <xf numFmtId="168" fontId="0" fillId="3" borderId="0" xfId="0" applyNumberFormat="1" applyFill="1" applyAlignment="1">
      <alignment horizontal="right" wrapText="1"/>
    </xf>
    <xf numFmtId="0" fontId="27" fillId="2" borderId="0" xfId="0" applyFont="1" applyFill="1"/>
    <xf numFmtId="168" fontId="0" fillId="2" borderId="0" xfId="0" applyNumberFormat="1" applyFill="1" applyAlignment="1">
      <alignment horizontal="right"/>
    </xf>
    <xf numFmtId="168" fontId="0" fillId="2" borderId="0" xfId="0" applyNumberFormat="1" applyFill="1" applyAlignment="1">
      <alignment horizontal="right" wrapText="1"/>
    </xf>
    <xf numFmtId="168" fontId="0" fillId="2" borderId="0" xfId="0" applyNumberFormat="1" applyFill="1"/>
    <xf numFmtId="0" fontId="24" fillId="2" borderId="0" xfId="0" applyFont="1" applyFill="1"/>
    <xf numFmtId="168" fontId="1" fillId="2" borderId="0" xfId="0" applyNumberFormat="1" applyFont="1" applyFill="1"/>
    <xf numFmtId="168" fontId="27" fillId="2" borderId="0" xfId="0" applyNumberFormat="1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8" fontId="28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27" fillId="7" borderId="0" xfId="0" applyNumberFormat="1" applyFont="1" applyFill="1" applyAlignment="1">
      <alignment horizontal="left" wrapText="1"/>
    </xf>
    <xf numFmtId="0" fontId="28" fillId="3" borderId="0" xfId="0" applyFont="1" applyFill="1" applyAlignment="1">
      <alignment wrapText="1"/>
    </xf>
    <xf numFmtId="168" fontId="13" fillId="3" borderId="0" xfId="0" applyNumberFormat="1" applyFont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0" fillId="2" borderId="0" xfId="0" applyFill="1"/>
    <xf numFmtId="168" fontId="1" fillId="2" borderId="0" xfId="0" applyNumberFormat="1" applyFont="1" applyFill="1" applyAlignment="1">
      <alignment wrapText="1"/>
    </xf>
    <xf numFmtId="168" fontId="1" fillId="3" borderId="0" xfId="0" applyNumberFormat="1" applyFont="1" applyFill="1" applyAlignment="1">
      <alignment wrapText="1"/>
    </xf>
    <xf numFmtId="168" fontId="28" fillId="2" borderId="0" xfId="0" applyNumberFormat="1" applyFont="1" applyFill="1" applyAlignment="1">
      <alignment wrapText="1"/>
    </xf>
    <xf numFmtId="168" fontId="28" fillId="3" borderId="0" xfId="0" applyNumberFormat="1" applyFont="1" applyFill="1" applyAlignment="1">
      <alignment wrapText="1"/>
    </xf>
    <xf numFmtId="168" fontId="32" fillId="2" borderId="0" xfId="0" applyNumberFormat="1" applyFont="1" applyFill="1" applyAlignment="1">
      <alignment wrapText="1"/>
    </xf>
    <xf numFmtId="168" fontId="13" fillId="2" borderId="0" xfId="0" applyNumberFormat="1" applyFont="1" applyFill="1" applyAlignment="1">
      <alignment wrapText="1"/>
    </xf>
    <xf numFmtId="3" fontId="26" fillId="2" borderId="0" xfId="0" applyNumberFormat="1" applyFont="1" applyFill="1" applyAlignment="1">
      <alignment vertical="center" wrapText="1"/>
    </xf>
    <xf numFmtId="3" fontId="0" fillId="0" borderId="0" xfId="0" applyNumberFormat="1"/>
    <xf numFmtId="3" fontId="0" fillId="2" borderId="0" xfId="0" applyNumberFormat="1" applyFill="1"/>
    <xf numFmtId="0" fontId="23" fillId="0" borderId="0" xfId="0" applyFont="1" applyAlignment="1">
      <alignment horizontal="right" vertical="center"/>
    </xf>
    <xf numFmtId="3" fontId="23" fillId="2" borderId="0" xfId="0" applyNumberFormat="1" applyFont="1" applyFill="1" applyAlignment="1">
      <alignment vertical="center"/>
    </xf>
    <xf numFmtId="168" fontId="23" fillId="2" borderId="0" xfId="0" applyNumberFormat="1" applyFont="1" applyFill="1" applyAlignment="1">
      <alignment vertical="center"/>
    </xf>
    <xf numFmtId="168" fontId="23" fillId="2" borderId="0" xfId="0" applyNumberFormat="1" applyFont="1" applyFill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34" fillId="9" borderId="0" xfId="0" applyNumberFormat="1" applyFont="1" applyFill="1" applyAlignment="1">
      <alignment horizontal="left" vertical="center"/>
    </xf>
    <xf numFmtId="1" fontId="34" fillId="9" borderId="0" xfId="0" applyNumberFormat="1" applyFont="1" applyFill="1" applyAlignment="1">
      <alignment horizontal="right" vertical="center"/>
    </xf>
    <xf numFmtId="168" fontId="34" fillId="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 wrapText="1"/>
    </xf>
    <xf numFmtId="3" fontId="34" fillId="10" borderId="0" xfId="0" applyNumberFormat="1" applyFont="1" applyFill="1" applyAlignment="1">
      <alignment horizontal="left" vertical="center"/>
    </xf>
    <xf numFmtId="168" fontId="34" fillId="10" borderId="0" xfId="0" applyNumberFormat="1" applyFont="1" applyFill="1" applyAlignment="1">
      <alignment horizontal="right"/>
    </xf>
    <xf numFmtId="3" fontId="35" fillId="11" borderId="0" xfId="0" applyNumberFormat="1" applyFont="1" applyFill="1" applyAlignment="1">
      <alignment horizontal="left" wrapText="1"/>
    </xf>
    <xf numFmtId="168" fontId="35" fillId="11" borderId="0" xfId="0" applyNumberFormat="1" applyFont="1" applyFill="1" applyAlignment="1">
      <alignment horizontal="right" wrapText="1"/>
    </xf>
    <xf numFmtId="3" fontId="35" fillId="0" borderId="0" xfId="0" applyNumberFormat="1" applyFont="1" applyAlignment="1">
      <alignment horizontal="right" wrapText="1"/>
    </xf>
    <xf numFmtId="3" fontId="35" fillId="9" borderId="0" xfId="0" applyNumberFormat="1" applyFont="1" applyFill="1" applyAlignment="1">
      <alignment wrapText="1"/>
    </xf>
    <xf numFmtId="3" fontId="35" fillId="0" borderId="0" xfId="0" applyNumberFormat="1" applyFont="1" applyAlignment="1">
      <alignment wrapText="1"/>
    </xf>
    <xf numFmtId="168" fontId="34" fillId="9" borderId="0" xfId="0" applyNumberFormat="1" applyFont="1" applyFill="1" applyAlignment="1">
      <alignment horizontal="center" vertical="center"/>
    </xf>
    <xf numFmtId="168" fontId="34" fillId="9" borderId="0" xfId="0" applyNumberFormat="1" applyFont="1" applyFill="1"/>
    <xf numFmtId="3" fontId="34" fillId="0" borderId="0" xfId="0" applyNumberFormat="1" applyFont="1"/>
    <xf numFmtId="3" fontId="36" fillId="10" borderId="0" xfId="0" applyNumberFormat="1" applyFont="1" applyFill="1"/>
    <xf numFmtId="168" fontId="36" fillId="10" borderId="0" xfId="0" applyNumberFormat="1" applyFont="1" applyFill="1"/>
    <xf numFmtId="168" fontId="36" fillId="10" borderId="0" xfId="0" applyNumberFormat="1" applyFont="1" applyFill="1" applyAlignment="1">
      <alignment horizontal="right"/>
    </xf>
    <xf numFmtId="3" fontId="36" fillId="0" borderId="0" xfId="0" applyNumberFormat="1" applyFont="1" applyAlignment="1">
      <alignment horizontal="right"/>
    </xf>
    <xf numFmtId="3" fontId="0" fillId="2" borderId="0" xfId="0" applyNumberFormat="1" applyFill="1" applyAlignment="1">
      <alignment horizontal="left" wrapText="1"/>
    </xf>
    <xf numFmtId="0" fontId="0" fillId="0" borderId="0" xfId="0"/>
    <xf numFmtId="3" fontId="28" fillId="3" borderId="0" xfId="0" applyNumberFormat="1" applyFont="1" applyFill="1" applyAlignment="1">
      <alignment horizontal="right" wrapText="1"/>
    </xf>
    <xf numFmtId="0" fontId="0" fillId="3" borderId="0" xfId="0" applyFont="1" applyFill="1"/>
    <xf numFmtId="3" fontId="28" fillId="2" borderId="0" xfId="0" applyNumberFormat="1" applyFont="1" applyFill="1" applyAlignment="1">
      <alignment horizontal="right" wrapText="1"/>
    </xf>
    <xf numFmtId="0" fontId="0" fillId="2" borderId="0" xfId="0" applyFont="1" applyFill="1"/>
    <xf numFmtId="0" fontId="0" fillId="3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3" fontId="0" fillId="3" borderId="0" xfId="0" applyNumberFormat="1" applyFont="1" applyFill="1" applyAlignment="1">
      <alignment horizontal="right" wrapText="1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3" fontId="0" fillId="3" borderId="0" xfId="0" applyNumberFormat="1" applyFont="1" applyFill="1"/>
    <xf numFmtId="3" fontId="0" fillId="2" borderId="0" xfId="0" applyNumberFormat="1" applyFont="1" applyFill="1"/>
    <xf numFmtId="4" fontId="0" fillId="3" borderId="0" xfId="0" applyNumberFormat="1" applyFont="1" applyFill="1"/>
    <xf numFmtId="0" fontId="25" fillId="2" borderId="0" xfId="0" applyFont="1" applyFill="1" applyAlignment="1">
      <alignment horizontal="center" vertical="center" wrapText="1"/>
    </xf>
    <xf numFmtId="165" fontId="0" fillId="0" borderId="0" xfId="1" applyNumberFormat="1" applyFont="1"/>
    <xf numFmtId="0" fontId="0" fillId="2" borderId="0" xfId="0" applyFont="1" applyFill="1" applyAlignment="1">
      <alignment horizontal="left" indent="1"/>
    </xf>
    <xf numFmtId="2" fontId="0" fillId="3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 wrapText="1"/>
    </xf>
    <xf numFmtId="0" fontId="0" fillId="3" borderId="0" xfId="0" applyFont="1" applyFill="1" applyAlignment="1">
      <alignment horizontal="center"/>
    </xf>
    <xf numFmtId="0" fontId="0" fillId="2" borderId="3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2" xfId="0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0" fontId="0" fillId="3" borderId="0" xfId="0" applyFill="1" applyAlignment="1">
      <alignment horizontal="left" indent="2"/>
    </xf>
    <xf numFmtId="0" fontId="10" fillId="2" borderId="0" xfId="0" applyFont="1" applyFill="1"/>
    <xf numFmtId="0" fontId="11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11" fillId="2" borderId="0" xfId="0" applyFont="1" applyFill="1" applyAlignment="1">
      <alignment horizontal="left" indent="2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167" fontId="0" fillId="2" borderId="0" xfId="0" applyNumberFormat="1" applyFill="1" applyAlignment="1">
      <alignment horizontal="right"/>
    </xf>
    <xf numFmtId="167" fontId="0" fillId="3" borderId="0" xfId="0" applyNumberFormat="1" applyFill="1" applyAlignment="1">
      <alignment horizontal="right"/>
    </xf>
    <xf numFmtId="0" fontId="11" fillId="2" borderId="0" xfId="0" applyFont="1" applyFill="1" applyAlignment="1">
      <alignment horizontal="right"/>
    </xf>
    <xf numFmtId="166" fontId="11" fillId="2" borderId="0" xfId="73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right" wrapText="1"/>
    </xf>
    <xf numFmtId="167" fontId="0" fillId="3" borderId="0" xfId="0" applyNumberFormat="1" applyFill="1" applyAlignment="1">
      <alignment horizontal="right" wrapText="1"/>
    </xf>
    <xf numFmtId="167" fontId="0" fillId="2" borderId="0" xfId="0" applyNumberFormat="1" applyFill="1" applyAlignment="1">
      <alignment horizontal="right" wrapText="1"/>
    </xf>
    <xf numFmtId="167" fontId="1" fillId="2" borderId="0" xfId="0" applyNumberFormat="1" applyFont="1" applyFill="1" applyAlignment="1">
      <alignment horizontal="right" wrapText="1"/>
    </xf>
    <xf numFmtId="167" fontId="1" fillId="3" borderId="0" xfId="0" applyNumberFormat="1" applyFont="1" applyFill="1" applyAlignment="1">
      <alignment horizontal="right" wrapText="1"/>
    </xf>
    <xf numFmtId="0" fontId="0" fillId="0" borderId="0" xfId="0" applyFill="1"/>
    <xf numFmtId="167" fontId="0" fillId="3" borderId="0" xfId="73" applyNumberFormat="1" applyFont="1" applyFill="1" applyAlignment="1">
      <alignment horizontal="right"/>
    </xf>
    <xf numFmtId="167" fontId="0" fillId="2" borderId="0" xfId="73" applyNumberFormat="1" applyFont="1" applyFill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0" fontId="0" fillId="2" borderId="0" xfId="0" applyFill="1" applyBorder="1"/>
    <xf numFmtId="0" fontId="1" fillId="3" borderId="0" xfId="0" applyFont="1" applyFill="1" applyAlignment="1">
      <alignment horizontal="left" indent="2"/>
    </xf>
    <xf numFmtId="0" fontId="1" fillId="0" borderId="0" xfId="0" applyFont="1" applyFill="1"/>
    <xf numFmtId="0" fontId="1" fillId="2" borderId="0" xfId="0" applyFont="1" applyFill="1" applyAlignment="1">
      <alignment horizontal="left" indent="2"/>
    </xf>
    <xf numFmtId="0" fontId="1" fillId="0" borderId="0" xfId="0" applyFont="1"/>
    <xf numFmtId="167" fontId="1" fillId="3" borderId="0" xfId="73" applyNumberFormat="1" applyFont="1" applyFill="1" applyAlignment="1">
      <alignment horizontal="right"/>
    </xf>
    <xf numFmtId="167" fontId="1" fillId="2" borderId="0" xfId="73" applyNumberFormat="1" applyFont="1" applyFill="1" applyAlignment="1">
      <alignment horizontal="right"/>
    </xf>
    <xf numFmtId="0" fontId="0" fillId="0" borderId="0" xfId="0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8" fontId="26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0" borderId="0" xfId="0" applyFont="1"/>
    <xf numFmtId="0" fontId="1" fillId="12" borderId="0" xfId="0" applyFont="1" applyFill="1" applyAlignment="1">
      <alignment horizontal="left" vertical="center" wrapText="1"/>
    </xf>
    <xf numFmtId="168" fontId="32" fillId="12" borderId="0" xfId="0" applyNumberFormat="1" applyFont="1" applyFill="1" applyAlignment="1">
      <alignment vertical="center" wrapText="1"/>
    </xf>
    <xf numFmtId="168" fontId="32" fillId="12" borderId="0" xfId="0" applyNumberFormat="1" applyFont="1" applyFill="1" applyAlignment="1">
      <alignment wrapText="1"/>
    </xf>
    <xf numFmtId="0" fontId="1" fillId="12" borderId="0" xfId="0" applyFont="1" applyFill="1" applyAlignment="1">
      <alignment wrapText="1"/>
    </xf>
    <xf numFmtId="0" fontId="1" fillId="12" borderId="0" xfId="0" applyFont="1" applyFill="1" applyAlignment="1">
      <alignment horizontal="left" wrapText="1"/>
    </xf>
    <xf numFmtId="0" fontId="26" fillId="2" borderId="0" xfId="0" applyFont="1" applyFill="1" applyAlignment="1">
      <alignment vertical="center" wrapText="1"/>
    </xf>
    <xf numFmtId="0" fontId="32" fillId="12" borderId="0" xfId="0" applyFont="1" applyFill="1" applyAlignment="1"/>
    <xf numFmtId="0" fontId="10" fillId="12" borderId="0" xfId="0" applyFont="1" applyFill="1"/>
    <xf numFmtId="0" fontId="38" fillId="12" borderId="0" xfId="0" applyFont="1" applyFill="1" applyAlignment="1"/>
    <xf numFmtId="0" fontId="12" fillId="12" borderId="0" xfId="0" applyFont="1" applyFill="1" applyAlignment="1">
      <alignment horizontal="right"/>
    </xf>
    <xf numFmtId="0" fontId="12" fillId="12" borderId="0" xfId="0" applyFont="1" applyFill="1" applyAlignment="1">
      <alignment horizontal="right" wrapText="1"/>
    </xf>
    <xf numFmtId="0" fontId="9" fillId="12" borderId="0" xfId="0" applyFont="1" applyFill="1"/>
    <xf numFmtId="167" fontId="11" fillId="12" borderId="0" xfId="0" applyNumberFormat="1" applyFont="1" applyFill="1" applyAlignment="1">
      <alignment horizontal="right"/>
    </xf>
    <xf numFmtId="167" fontId="11" fillId="12" borderId="0" xfId="0" applyNumberFormat="1" applyFont="1" applyFill="1" applyAlignment="1">
      <alignment horizontal="right" wrapText="1"/>
    </xf>
    <xf numFmtId="0" fontId="38" fillId="12" borderId="0" xfId="0" applyFont="1" applyFill="1" applyAlignment="1">
      <alignment horizontal="left"/>
    </xf>
    <xf numFmtId="167" fontId="38" fillId="12" borderId="0" xfId="0" applyNumberFormat="1" applyFont="1" applyFill="1" applyAlignment="1">
      <alignment horizontal="right"/>
    </xf>
    <xf numFmtId="167" fontId="38" fillId="12" borderId="0" xfId="0" applyNumberFormat="1" applyFont="1" applyFill="1" applyAlignment="1">
      <alignment horizontal="right" wrapText="1"/>
    </xf>
    <xf numFmtId="0" fontId="39" fillId="12" borderId="0" xfId="0" applyFont="1" applyFill="1"/>
    <xf numFmtId="0" fontId="32" fillId="2" borderId="0" xfId="0" applyFont="1" applyFill="1" applyAlignment="1"/>
    <xf numFmtId="3" fontId="1" fillId="12" borderId="0" xfId="0" applyNumberFormat="1" applyFont="1" applyFill="1"/>
    <xf numFmtId="168" fontId="1" fillId="12" borderId="0" xfId="0" applyNumberFormat="1" applyFont="1" applyFill="1"/>
    <xf numFmtId="168" fontId="1" fillId="12" borderId="0" xfId="0" applyNumberFormat="1" applyFont="1" applyFill="1" applyAlignment="1">
      <alignment horizontal="right"/>
    </xf>
    <xf numFmtId="168" fontId="1" fillId="2" borderId="0" xfId="0" applyNumberFormat="1" applyFont="1" applyFill="1" applyAlignment="1">
      <alignment horizontal="center" wrapText="1"/>
    </xf>
    <xf numFmtId="168" fontId="1" fillId="2" borderId="0" xfId="0" applyNumberFormat="1" applyFont="1" applyFill="1" applyAlignment="1">
      <alignment horizontal="right" vertical="center"/>
    </xf>
    <xf numFmtId="168" fontId="0" fillId="3" borderId="0" xfId="0" applyNumberFormat="1" applyFill="1" applyAlignment="1">
      <alignment horizontal="left" indent="2"/>
    </xf>
    <xf numFmtId="168" fontId="0" fillId="2" borderId="0" xfId="0" applyNumberFormat="1" applyFill="1" applyAlignment="1">
      <alignment horizontal="left" indent="5"/>
    </xf>
    <xf numFmtId="168" fontId="0" fillId="3" borderId="0" xfId="0" applyNumberFormat="1" applyFill="1" applyAlignment="1">
      <alignment horizontal="left" indent="5"/>
    </xf>
    <xf numFmtId="168" fontId="0" fillId="2" borderId="0" xfId="0" applyNumberFormat="1" applyFill="1" applyAlignment="1">
      <alignment horizontal="center" wrapText="1"/>
    </xf>
    <xf numFmtId="168" fontId="1" fillId="2" borderId="0" xfId="0" applyNumberFormat="1" applyFont="1" applyFill="1" applyAlignment="1">
      <alignment horizontal="left"/>
    </xf>
    <xf numFmtId="168" fontId="1" fillId="2" borderId="0" xfId="0" applyNumberFormat="1" applyFont="1" applyFill="1" applyAlignment="1">
      <alignment vertical="center"/>
    </xf>
    <xf numFmtId="168" fontId="0" fillId="2" borderId="0" xfId="0" applyNumberFormat="1" applyFill="1" applyAlignment="1">
      <alignment horizontal="left" indent="3"/>
    </xf>
    <xf numFmtId="168" fontId="0" fillId="3" borderId="0" xfId="0" applyNumberFormat="1" applyFill="1" applyAlignment="1">
      <alignment horizontal="left" indent="3"/>
    </xf>
    <xf numFmtId="168" fontId="0" fillId="2" borderId="0" xfId="0" applyNumberFormat="1" applyFill="1" applyAlignment="1">
      <alignment horizontal="left" indent="2"/>
    </xf>
    <xf numFmtId="168" fontId="0" fillId="3" borderId="0" xfId="0" applyNumberFormat="1" applyFill="1" applyAlignment="1">
      <alignment horizontal="left" indent="6"/>
    </xf>
    <xf numFmtId="168" fontId="0" fillId="13" borderId="0" xfId="0" applyNumberFormat="1" applyFill="1" applyAlignment="1">
      <alignment horizontal="left" indent="4"/>
    </xf>
    <xf numFmtId="168" fontId="0" fillId="13" borderId="0" xfId="0" applyNumberFormat="1" applyFill="1" applyAlignment="1">
      <alignment horizontal="right"/>
    </xf>
    <xf numFmtId="168" fontId="0" fillId="13" borderId="0" xfId="0" applyNumberFormat="1" applyFill="1" applyAlignment="1">
      <alignment horizontal="right" wrapText="1"/>
    </xf>
    <xf numFmtId="168" fontId="0" fillId="13" borderId="0" xfId="0" applyNumberFormat="1" applyFill="1" applyAlignment="1">
      <alignment horizontal="left" indent="5"/>
    </xf>
    <xf numFmtId="168" fontId="21" fillId="2" borderId="0" xfId="0" applyNumberFormat="1" applyFont="1" applyFill="1"/>
    <xf numFmtId="168" fontId="21" fillId="2" borderId="0" xfId="0" applyNumberFormat="1" applyFont="1" applyFill="1" applyAlignment="1">
      <alignment horizontal="right"/>
    </xf>
    <xf numFmtId="168" fontId="21" fillId="2" borderId="0" xfId="0" applyNumberFormat="1" applyFont="1" applyFill="1" applyAlignment="1">
      <alignment horizontal="center"/>
    </xf>
    <xf numFmtId="168" fontId="30" fillId="2" borderId="1" xfId="0" applyNumberFormat="1" applyFont="1" applyFill="1" applyBorder="1"/>
    <xf numFmtId="168" fontId="0" fillId="2" borderId="1" xfId="0" applyNumberFormat="1" applyFill="1" applyBorder="1" applyAlignment="1">
      <alignment horizontal="right"/>
    </xf>
    <xf numFmtId="168" fontId="0" fillId="2" borderId="1" xfId="0" applyNumberFormat="1" applyFill="1" applyBorder="1"/>
    <xf numFmtId="168" fontId="0" fillId="2" borderId="1" xfId="0" applyNumberFormat="1" applyFill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8" fontId="1" fillId="12" borderId="0" xfId="0" applyNumberFormat="1" applyFont="1" applyFill="1" applyAlignment="1">
      <alignment horizontal="left"/>
    </xf>
    <xf numFmtId="168" fontId="1" fillId="12" borderId="0" xfId="0" applyNumberFormat="1" applyFont="1" applyFill="1" applyAlignment="1">
      <alignment horizontal="right" wrapText="1"/>
    </xf>
    <xf numFmtId="168" fontId="0" fillId="12" borderId="0" xfId="0" applyNumberFormat="1" applyFill="1" applyAlignment="1">
      <alignment horizontal="left" indent="2"/>
    </xf>
    <xf numFmtId="168" fontId="18" fillId="12" borderId="0" xfId="0" applyNumberFormat="1" applyFont="1" applyFill="1" applyAlignment="1">
      <alignment horizontal="right"/>
    </xf>
    <xf numFmtId="168" fontId="0" fillId="12" borderId="0" xfId="0" applyNumberFormat="1" applyFill="1" applyAlignment="1">
      <alignment horizontal="right"/>
    </xf>
    <xf numFmtId="168" fontId="0" fillId="12" borderId="0" xfId="0" applyNumberFormat="1" applyFill="1" applyAlignment="1">
      <alignment horizontal="right" wrapText="1"/>
    </xf>
    <xf numFmtId="168" fontId="0" fillId="12" borderId="0" xfId="0" applyNumberFormat="1" applyFill="1" applyAlignment="1">
      <alignment horizontal="left" indent="4"/>
    </xf>
    <xf numFmtId="168" fontId="0" fillId="12" borderId="0" xfId="0" applyNumberFormat="1" applyFill="1"/>
    <xf numFmtId="168" fontId="0" fillId="12" borderId="0" xfId="0" applyNumberFormat="1" applyFill="1" applyAlignment="1">
      <alignment horizontal="left" indent="5"/>
    </xf>
    <xf numFmtId="168" fontId="0" fillId="12" borderId="0" xfId="0" applyNumberFormat="1" applyFill="1" applyAlignment="1">
      <alignment horizontal="left" indent="1"/>
    </xf>
    <xf numFmtId="168" fontId="1" fillId="12" borderId="0" xfId="0" applyNumberFormat="1" applyFont="1" applyFill="1" applyAlignment="1">
      <alignment horizontal="left" vertical="center"/>
    </xf>
    <xf numFmtId="168" fontId="1" fillId="12" borderId="0" xfId="0" applyNumberFormat="1" applyFont="1" applyFill="1" applyAlignment="1">
      <alignment horizontal="right" vertical="center"/>
    </xf>
    <xf numFmtId="168" fontId="0" fillId="12" borderId="0" xfId="0" applyNumberFormat="1" applyFill="1" applyAlignment="1">
      <alignment horizontal="left" indent="3"/>
    </xf>
    <xf numFmtId="168" fontId="1" fillId="12" borderId="0" xfId="0" applyNumberFormat="1" applyFont="1" applyFill="1" applyAlignment="1">
      <alignment horizontal="left" wrapText="1"/>
    </xf>
    <xf numFmtId="3" fontId="8" fillId="2" borderId="1" xfId="41" applyNumberFormat="1" applyFont="1" applyFill="1" applyBorder="1" applyAlignment="1">
      <alignment horizontal="center" vertical="center"/>
    </xf>
    <xf numFmtId="168" fontId="25" fillId="2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0" fontId="0" fillId="0" borderId="0" xfId="0"/>
    <xf numFmtId="3" fontId="37" fillId="2" borderId="0" xfId="0" applyNumberFormat="1" applyFont="1" applyFill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43" fillId="6" borderId="0" xfId="0" applyFont="1" applyFill="1" applyAlignment="1">
      <alignment vertical="center"/>
    </xf>
    <xf numFmtId="0" fontId="46" fillId="5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4" fontId="14" fillId="3" borderId="0" xfId="0" applyNumberFormat="1" applyFont="1" applyFill="1" applyAlignment="1">
      <alignment vertical="center" wrapText="1"/>
    </xf>
    <xf numFmtId="170" fontId="14" fillId="3" borderId="0" xfId="0" applyNumberFormat="1" applyFont="1" applyFill="1" applyAlignment="1">
      <alignment horizontal="right" vertical="center" wrapText="1"/>
    </xf>
    <xf numFmtId="14" fontId="14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0" xfId="0" applyFont="1" applyFill="1" applyAlignment="1">
      <alignment vertical="center" wrapText="1"/>
    </xf>
    <xf numFmtId="0" fontId="16" fillId="12" borderId="0" xfId="0" applyFont="1" applyFill="1" applyAlignment="1">
      <alignment horizontal="center" vertical="center" wrapText="1"/>
    </xf>
    <xf numFmtId="4" fontId="45" fillId="12" borderId="0" xfId="0" applyNumberFormat="1" applyFont="1" applyFill="1" applyAlignment="1">
      <alignment vertical="center" wrapText="1"/>
    </xf>
    <xf numFmtId="170" fontId="45" fillId="12" borderId="0" xfId="0" applyNumberFormat="1" applyFont="1" applyFill="1" applyAlignment="1">
      <alignment horizontal="right" vertical="center" wrapText="1"/>
    </xf>
    <xf numFmtId="14" fontId="45" fillId="12" borderId="0" xfId="0" applyNumberFormat="1" applyFont="1" applyFill="1" applyAlignment="1">
      <alignment horizontal="center" vertical="center" wrapText="1"/>
    </xf>
    <xf numFmtId="0" fontId="0" fillId="12" borderId="0" xfId="0" applyFill="1" applyAlignment="1">
      <alignment vertical="center"/>
    </xf>
    <xf numFmtId="168" fontId="0" fillId="13" borderId="0" xfId="0" applyNumberFormat="1" applyFill="1" applyAlignment="1">
      <alignment horizontal="left" indent="3"/>
    </xf>
    <xf numFmtId="168" fontId="0" fillId="0" borderId="0" xfId="0" applyNumberFormat="1" applyFill="1" applyAlignment="1">
      <alignment horizontal="left" indent="5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right" wrapText="1"/>
    </xf>
    <xf numFmtId="168" fontId="0" fillId="0" borderId="0" xfId="0" applyNumberFormat="1" applyFill="1"/>
    <xf numFmtId="168" fontId="0" fillId="0" borderId="0" xfId="0" applyNumberFormat="1" applyFill="1" applyAlignment="1">
      <alignment horizontal="left" indent="4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" fontId="16" fillId="2" borderId="0" xfId="0" applyNumberFormat="1" applyFont="1" applyFill="1" applyAlignment="1">
      <alignment vertical="center" wrapText="1"/>
    </xf>
    <xf numFmtId="170" fontId="16" fillId="2" borderId="0" xfId="0" applyNumberFormat="1" applyFont="1" applyFill="1" applyAlignment="1">
      <alignment horizontal="right" vertical="center" wrapText="1"/>
    </xf>
    <xf numFmtId="14" fontId="16" fillId="2" borderId="0" xfId="0" applyNumberFormat="1" applyFont="1" applyFill="1" applyAlignment="1">
      <alignment horizontal="right" vertical="center"/>
    </xf>
    <xf numFmtId="14" fontId="16" fillId="2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4" fontId="16" fillId="3" borderId="0" xfId="0" applyNumberFormat="1" applyFont="1" applyFill="1" applyAlignment="1">
      <alignment vertical="center" wrapText="1"/>
    </xf>
    <xf numFmtId="170" fontId="16" fillId="3" borderId="0" xfId="0" applyNumberFormat="1" applyFont="1" applyFill="1" applyAlignment="1">
      <alignment horizontal="right" vertical="center" wrapText="1"/>
    </xf>
    <xf numFmtId="14" fontId="16" fillId="3" borderId="0" xfId="0" applyNumberFormat="1" applyFont="1" applyFill="1" applyAlignment="1">
      <alignment horizontal="right" vertical="center" wrapText="1"/>
    </xf>
    <xf numFmtId="14" fontId="16" fillId="3" borderId="0" xfId="0" applyNumberFormat="1" applyFont="1" applyFill="1" applyAlignment="1">
      <alignment horizontal="center" vertical="center" wrapText="1"/>
    </xf>
    <xf numFmtId="4" fontId="16" fillId="2" borderId="0" xfId="0" applyNumberFormat="1" applyFont="1" applyFill="1" applyAlignment="1">
      <alignment vertical="center"/>
    </xf>
    <xf numFmtId="170" fontId="16" fillId="2" borderId="0" xfId="0" applyNumberFormat="1" applyFont="1" applyFill="1" applyAlignment="1">
      <alignment horizontal="right" vertical="center"/>
    </xf>
    <xf numFmtId="14" fontId="16" fillId="2" borderId="0" xfId="0" applyNumberFormat="1" applyFont="1" applyFill="1" applyAlignment="1">
      <alignment horizontal="center" vertical="center"/>
    </xf>
    <xf numFmtId="14" fontId="16" fillId="2" borderId="0" xfId="0" applyNumberFormat="1" applyFont="1" applyFill="1" applyAlignment="1">
      <alignment horizontal="right" vertical="center" wrapText="1"/>
    </xf>
    <xf numFmtId="0" fontId="45" fillId="2" borderId="0" xfId="0" applyFont="1" applyFill="1" applyAlignment="1">
      <alignment vertical="center" wrapText="1"/>
    </xf>
    <xf numFmtId="4" fontId="45" fillId="2" borderId="0" xfId="0" applyNumberFormat="1" applyFont="1" applyFill="1" applyAlignment="1">
      <alignment vertical="center" wrapText="1"/>
    </xf>
    <xf numFmtId="170" fontId="45" fillId="2" borderId="0" xfId="0" applyNumberFormat="1" applyFont="1" applyFill="1" applyAlignment="1">
      <alignment horizontal="right" vertical="center" wrapText="1"/>
    </xf>
    <xf numFmtId="14" fontId="45" fillId="2" borderId="0" xfId="0" applyNumberFormat="1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45" fillId="3" borderId="0" xfId="0" applyFont="1" applyFill="1" applyAlignment="1">
      <alignment vertical="center" wrapText="1"/>
    </xf>
    <xf numFmtId="4" fontId="45" fillId="3" borderId="0" xfId="0" applyNumberFormat="1" applyFont="1" applyFill="1" applyAlignment="1">
      <alignment vertical="center" wrapText="1"/>
    </xf>
    <xf numFmtId="170" fontId="45" fillId="3" borderId="0" xfId="0" applyNumberFormat="1" applyFont="1" applyFill="1" applyAlignment="1">
      <alignment horizontal="right" vertical="center" wrapText="1"/>
    </xf>
    <xf numFmtId="14" fontId="45" fillId="3" borderId="0" xfId="0" applyNumberFormat="1" applyFont="1" applyFill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3" fillId="12" borderId="0" xfId="0" applyFont="1" applyFill="1" applyAlignment="1">
      <alignment horizontal="center" vertical="center" wrapText="1"/>
    </xf>
    <xf numFmtId="14" fontId="43" fillId="12" borderId="0" xfId="0" applyNumberFormat="1" applyFont="1" applyFill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168" fontId="23" fillId="14" borderId="0" xfId="0" applyNumberFormat="1" applyFont="1" applyFill="1" applyAlignment="1">
      <alignment horizontal="left" vertical="center"/>
    </xf>
    <xf numFmtId="168" fontId="23" fillId="14" borderId="0" xfId="0" applyNumberFormat="1" applyFont="1" applyFill="1" applyAlignment="1">
      <alignment horizontal="right" vertical="center"/>
    </xf>
    <xf numFmtId="0" fontId="23" fillId="14" borderId="0" xfId="0" applyFont="1" applyFill="1" applyAlignment="1">
      <alignment vertical="center"/>
    </xf>
    <xf numFmtId="0" fontId="23" fillId="14" borderId="0" xfId="0" applyFont="1" applyFill="1" applyAlignment="1">
      <alignment horizontal="right" vertical="center"/>
    </xf>
    <xf numFmtId="0" fontId="2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right" vertical="center"/>
    </xf>
    <xf numFmtId="0" fontId="43" fillId="14" borderId="0" xfId="0" applyFont="1" applyFill="1" applyAlignment="1">
      <alignment horizontal="center" vertical="center" wrapText="1"/>
    </xf>
    <xf numFmtId="14" fontId="43" fillId="14" borderId="0" xfId="0" applyNumberFormat="1" applyFont="1" applyFill="1" applyAlignment="1">
      <alignment horizontal="center" vertical="center" wrapText="1"/>
    </xf>
    <xf numFmtId="168" fontId="0" fillId="2" borderId="0" xfId="0" applyNumberFormat="1" applyFont="1" applyFill="1"/>
    <xf numFmtId="0" fontId="0" fillId="0" borderId="0" xfId="0" applyFont="1" applyAlignment="1">
      <alignment horizontal="center"/>
    </xf>
    <xf numFmtId="168" fontId="0" fillId="0" borderId="0" xfId="0" applyNumberFormat="1" applyFont="1"/>
    <xf numFmtId="0" fontId="0" fillId="0" borderId="0" xfId="0" applyFont="1" applyAlignment="1">
      <alignment wrapText="1"/>
    </xf>
    <xf numFmtId="168" fontId="0" fillId="2" borderId="0" xfId="0" applyNumberFormat="1" applyFont="1" applyFill="1" applyAlignment="1">
      <alignment wrapText="1"/>
    </xf>
    <xf numFmtId="168" fontId="0" fillId="3" borderId="0" xfId="0" applyNumberFormat="1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3" fontId="0" fillId="2" borderId="0" xfId="0" applyNumberFormat="1" applyFont="1" applyFill="1" applyAlignment="1">
      <alignment wrapText="1"/>
    </xf>
    <xf numFmtId="0" fontId="0" fillId="4" borderId="0" xfId="0" applyFont="1" applyFill="1"/>
    <xf numFmtId="168" fontId="0" fillId="4" borderId="0" xfId="0" applyNumberFormat="1" applyFont="1" applyFill="1"/>
    <xf numFmtId="17" fontId="23" fillId="14" borderId="10" xfId="0" applyNumberFormat="1" applyFont="1" applyFill="1" applyBorder="1" applyAlignment="1">
      <alignment horizontal="center" vertical="center" wrapText="1"/>
    </xf>
    <xf numFmtId="0" fontId="23" fillId="14" borderId="0" xfId="0" applyFont="1" applyFill="1" applyAlignment="1">
      <alignment horizontal="center"/>
    </xf>
    <xf numFmtId="168" fontId="23" fillId="1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8" fontId="27" fillId="7" borderId="0" xfId="0" applyNumberFormat="1" applyFont="1" applyFill="1" applyAlignment="1">
      <alignment horizontal="left" vertical="center" wrapText="1"/>
    </xf>
    <xf numFmtId="0" fontId="23" fillId="14" borderId="0" xfId="0" applyFont="1" applyFill="1" applyAlignment="1">
      <alignment horizontal="center" vertical="center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" fontId="0" fillId="3" borderId="0" xfId="0" applyNumberFormat="1" applyFont="1" applyFill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4" fontId="0" fillId="0" borderId="0" xfId="0" applyNumberFormat="1"/>
    <xf numFmtId="0" fontId="23" fillId="14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 wrapText="1"/>
    </xf>
    <xf numFmtId="0" fontId="28" fillId="2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24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8" fontId="27" fillId="7" borderId="0" xfId="0" applyNumberFormat="1" applyFont="1" applyFill="1" applyAlignment="1">
      <alignment horizontal="center" wrapText="1"/>
    </xf>
    <xf numFmtId="168" fontId="1" fillId="7" borderId="0" xfId="0" applyNumberFormat="1" applyFont="1" applyFill="1" applyAlignment="1">
      <alignment horizontal="center" wrapText="1"/>
    </xf>
    <xf numFmtId="0" fontId="0" fillId="3" borderId="0" xfId="0" applyFill="1" applyAlignment="1">
      <alignment horizontal="center"/>
    </xf>
    <xf numFmtId="168" fontId="1" fillId="3" borderId="0" xfId="0" applyNumberFormat="1" applyFont="1" applyFill="1" applyAlignment="1">
      <alignment horizontal="center"/>
    </xf>
    <xf numFmtId="168" fontId="27" fillId="3" borderId="0" xfId="0" applyNumberFormat="1" applyFont="1" applyFill="1" applyAlignment="1">
      <alignment horizontal="center"/>
    </xf>
    <xf numFmtId="168" fontId="1" fillId="3" borderId="0" xfId="0" applyNumberFormat="1" applyFont="1" applyFill="1" applyAlignment="1">
      <alignment horizontal="center" wrapText="1"/>
    </xf>
    <xf numFmtId="168" fontId="28" fillId="2" borderId="0" xfId="0" applyNumberFormat="1" applyFont="1" applyFill="1" applyAlignment="1">
      <alignment horizontal="center" wrapText="1"/>
    </xf>
    <xf numFmtId="168" fontId="28" fillId="3" borderId="0" xfId="0" applyNumberFormat="1" applyFont="1" applyFill="1" applyAlignment="1">
      <alignment horizontal="center" wrapText="1"/>
    </xf>
    <xf numFmtId="168" fontId="28" fillId="3" borderId="0" xfId="0" applyNumberFormat="1" applyFon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 wrapText="1"/>
    </xf>
    <xf numFmtId="168" fontId="27" fillId="2" borderId="0" xfId="0" applyNumberFormat="1" applyFont="1" applyFill="1" applyAlignment="1">
      <alignment horizontal="center" wrapText="1"/>
    </xf>
    <xf numFmtId="10" fontId="0" fillId="2" borderId="0" xfId="1" applyNumberFormat="1" applyFont="1" applyFill="1" applyAlignment="1">
      <alignment horizontal="center"/>
    </xf>
    <xf numFmtId="168" fontId="28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 wrapText="1"/>
    </xf>
    <xf numFmtId="168" fontId="24" fillId="3" borderId="0" xfId="0" applyNumberFormat="1" applyFont="1" applyFill="1" applyAlignment="1">
      <alignment horizontal="center"/>
    </xf>
    <xf numFmtId="168" fontId="24" fillId="3" borderId="0" xfId="0" applyNumberFormat="1" applyFont="1" applyFill="1" applyAlignment="1">
      <alignment horizontal="center" wrapText="1"/>
    </xf>
    <xf numFmtId="168" fontId="27" fillId="3" borderId="0" xfId="0" applyNumberFormat="1" applyFont="1" applyFill="1" applyAlignment="1">
      <alignment horizontal="center" wrapText="1"/>
    </xf>
    <xf numFmtId="168" fontId="27" fillId="7" borderId="0" xfId="0" applyNumberFormat="1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8" borderId="0" xfId="0" applyNumberFormat="1" applyFill="1" applyAlignment="1">
      <alignment horizontal="center"/>
    </xf>
    <xf numFmtId="0" fontId="30" fillId="2" borderId="0" xfId="0" applyFont="1" applyFill="1" applyBorder="1" applyAlignment="1"/>
    <xf numFmtId="168" fontId="0" fillId="12" borderId="0" xfId="0" applyNumberFormat="1" applyFill="1" applyAlignment="1">
      <alignment horizontal="right" indent="2"/>
    </xf>
    <xf numFmtId="168" fontId="0" fillId="12" borderId="0" xfId="0" applyNumberFormat="1" applyFill="1" applyAlignment="1">
      <alignment horizontal="right" indent="4"/>
    </xf>
    <xf numFmtId="168" fontId="0" fillId="12" borderId="0" xfId="0" applyNumberFormat="1" applyFill="1" applyAlignment="1">
      <alignment horizontal="right" indent="5"/>
    </xf>
    <xf numFmtId="168" fontId="0" fillId="12" borderId="0" xfId="0" applyNumberFormat="1" applyFill="1" applyAlignment="1">
      <alignment horizontal="right" indent="1"/>
    </xf>
    <xf numFmtId="168" fontId="0" fillId="12" borderId="0" xfId="0" applyNumberFormat="1" applyFill="1" applyAlignment="1">
      <alignment horizontal="right" indent="3"/>
    </xf>
    <xf numFmtId="168" fontId="0" fillId="2" borderId="0" xfId="0" applyNumberFormat="1" applyFill="1" applyAlignment="1">
      <alignment horizontal="right" indent="2"/>
    </xf>
    <xf numFmtId="168" fontId="0" fillId="13" borderId="0" xfId="0" applyNumberFormat="1" applyFill="1" applyAlignment="1">
      <alignment horizontal="right" indent="3"/>
    </xf>
    <xf numFmtId="168" fontId="0" fillId="3" borderId="0" xfId="0" applyNumberFormat="1" applyFill="1" applyAlignment="1">
      <alignment horizontal="right" indent="2"/>
    </xf>
    <xf numFmtId="168" fontId="30" fillId="2" borderId="1" xfId="0" applyNumberFormat="1" applyFont="1" applyFill="1" applyBorder="1" applyAlignment="1">
      <alignment horizontal="right"/>
    </xf>
    <xf numFmtId="168" fontId="23" fillId="14" borderId="0" xfId="0" applyNumberFormat="1" applyFont="1" applyFill="1" applyAlignment="1">
      <alignment horizontal="center" vertical="center"/>
    </xf>
    <xf numFmtId="0" fontId="49" fillId="2" borderId="0" xfId="0" applyFont="1" applyFill="1" applyAlignment="1">
      <alignment horizontal="center"/>
    </xf>
    <xf numFmtId="0" fontId="51" fillId="9" borderId="0" xfId="0" applyFont="1" applyFill="1" applyAlignment="1">
      <alignment horizontal="center"/>
    </xf>
    <xf numFmtId="168" fontId="37" fillId="2" borderId="0" xfId="0" applyNumberFormat="1" applyFont="1" applyFill="1" applyAlignment="1">
      <alignment horizontal="center" vertical="center"/>
    </xf>
    <xf numFmtId="168" fontId="50" fillId="2" borderId="0" xfId="0" applyNumberFormat="1" applyFont="1" applyFill="1" applyAlignment="1">
      <alignment horizontal="center" vertical="center"/>
    </xf>
    <xf numFmtId="168" fontId="50" fillId="2" borderId="0" xfId="0" applyNumberFormat="1" applyFont="1" applyFill="1" applyAlignment="1">
      <alignment horizontal="center" vertical="center" wrapText="1"/>
    </xf>
    <xf numFmtId="0" fontId="48" fillId="2" borderId="0" xfId="41" applyFont="1" applyFill="1" applyAlignment="1">
      <alignment horizontal="left" vertical="center" wrapText="1"/>
    </xf>
    <xf numFmtId="3" fontId="0" fillId="2" borderId="0" xfId="0" applyNumberFormat="1" applyFill="1" applyAlignment="1">
      <alignment horizontal="left" wrapText="1"/>
    </xf>
    <xf numFmtId="3" fontId="50" fillId="2" borderId="0" xfId="0" applyNumberFormat="1" applyFont="1" applyFill="1" applyAlignment="1">
      <alignment horizontal="center" vertical="center" wrapText="1"/>
    </xf>
    <xf numFmtId="0" fontId="50" fillId="2" borderId="0" xfId="0" applyFont="1" applyFill="1" applyAlignment="1">
      <alignment horizontal="left" vertical="center" wrapText="1"/>
    </xf>
    <xf numFmtId="0" fontId="50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</cellXfs>
  <cellStyles count="79">
    <cellStyle name="A3 297 x 420 mm 2" xfId="65" xr:uid="{00000000-0005-0000-0000-000000000000}"/>
    <cellStyle name="Moeda 2" xfId="24" xr:uid="{00000000-0005-0000-0000-000001000000}"/>
    <cellStyle name="Normal" xfId="0" builtinId="0"/>
    <cellStyle name="Normal 10" xfId="52" xr:uid="{00000000-0005-0000-0000-000003000000}"/>
    <cellStyle name="Normal 11" xfId="66" xr:uid="{00000000-0005-0000-0000-000004000000}"/>
    <cellStyle name="Normal 12" xfId="69" xr:uid="{00000000-0005-0000-0000-000005000000}"/>
    <cellStyle name="Normal 2" xfId="4" xr:uid="{00000000-0005-0000-0000-000006000000}"/>
    <cellStyle name="Normal 2 2" xfId="44" xr:uid="{00000000-0005-0000-0000-000007000000}"/>
    <cellStyle name="Normal 2 2 2" xfId="53" xr:uid="{00000000-0005-0000-0000-000008000000}"/>
    <cellStyle name="Normal 2 3" xfId="47" xr:uid="{00000000-0005-0000-0000-000009000000}"/>
    <cellStyle name="Normal 27" xfId="59" xr:uid="{00000000-0005-0000-0000-00000A000000}"/>
    <cellStyle name="Normal 3" xfId="6" xr:uid="{00000000-0005-0000-0000-00000B000000}"/>
    <cellStyle name="Normal 3 13" xfId="45" xr:uid="{00000000-0005-0000-0000-00000C000000}"/>
    <cellStyle name="Normal 3 2" xfId="25" xr:uid="{00000000-0005-0000-0000-00000D000000}"/>
    <cellStyle name="Normal 3 2 2" xfId="54" xr:uid="{00000000-0005-0000-0000-00000E000000}"/>
    <cellStyle name="Normal 3 3" xfId="77" xr:uid="{00000000-0005-0000-0000-00000F000000}"/>
    <cellStyle name="Normal 4" xfId="43" xr:uid="{00000000-0005-0000-0000-000010000000}"/>
    <cellStyle name="Normal 4 2" xfId="48" xr:uid="{00000000-0005-0000-0000-000011000000}"/>
    <cellStyle name="Normal 5" xfId="55" xr:uid="{00000000-0005-0000-0000-000012000000}"/>
    <cellStyle name="Normal 6" xfId="56" xr:uid="{00000000-0005-0000-0000-000013000000}"/>
    <cellStyle name="Normal 7" xfId="41" xr:uid="{00000000-0005-0000-0000-000014000000}"/>
    <cellStyle name="Normal 8" xfId="58" xr:uid="{00000000-0005-0000-0000-000015000000}"/>
    <cellStyle name="Normal 9" xfId="60" xr:uid="{00000000-0005-0000-0000-000016000000}"/>
    <cellStyle name="Porcentagem" xfId="1" builtinId="5"/>
    <cellStyle name="Porcentagem 2" xfId="5" xr:uid="{00000000-0005-0000-0000-000019000000}"/>
    <cellStyle name="Porcentagem 3" xfId="57" xr:uid="{00000000-0005-0000-0000-00001A000000}"/>
    <cellStyle name="Separador de milhares 2" xfId="7" xr:uid="{00000000-0005-0000-0000-00001B000000}"/>
    <cellStyle name="Separador de milhares 2 2" xfId="26" xr:uid="{00000000-0005-0000-0000-00001C000000}"/>
    <cellStyle name="Separador de milhares 2 3" xfId="49" xr:uid="{00000000-0005-0000-0000-00001D000000}"/>
    <cellStyle name="Separador de milhares 2 4" xfId="67" xr:uid="{00000000-0005-0000-0000-00001E000000}"/>
    <cellStyle name="Separador de milhares 3" xfId="3" xr:uid="{00000000-0005-0000-0000-00001F000000}"/>
    <cellStyle name="Separador de milhares 3 2" xfId="22" xr:uid="{00000000-0005-0000-0000-000020000000}"/>
    <cellStyle name="Vírgula 10" xfId="42" xr:uid="{00000000-0005-0000-0000-000022000000}"/>
    <cellStyle name="Vírgula 11" xfId="46" xr:uid="{00000000-0005-0000-0000-000023000000}"/>
    <cellStyle name="Vírgula 12" xfId="71" xr:uid="{00000000-0005-0000-0000-000024000000}"/>
    <cellStyle name="Vírgula 13" xfId="72" xr:uid="{00000000-0005-0000-0000-000025000000}"/>
    <cellStyle name="Vírgula 14" xfId="73" xr:uid="{00000000-0005-0000-0000-000026000000}"/>
    <cellStyle name="Vírgula 15" xfId="74" xr:uid="{00000000-0005-0000-0000-000027000000}"/>
    <cellStyle name="Vírgula 16" xfId="75" xr:uid="{00000000-0005-0000-0000-000028000000}"/>
    <cellStyle name="Vírgula 17" xfId="76" xr:uid="{00000000-0005-0000-0000-000029000000}"/>
    <cellStyle name="Vírgula 18" xfId="78" xr:uid="{00000000-0005-0000-0000-00002A000000}"/>
    <cellStyle name="Vírgula 2" xfId="2" xr:uid="{00000000-0005-0000-0000-00002B000000}"/>
    <cellStyle name="Vírgula 2 2" xfId="12" xr:uid="{00000000-0005-0000-0000-00002C000000}"/>
    <cellStyle name="Vírgula 2 2 2" xfId="18" xr:uid="{00000000-0005-0000-0000-00002D000000}"/>
    <cellStyle name="Vírgula 2 2 2 2" xfId="37" xr:uid="{00000000-0005-0000-0000-00002E000000}"/>
    <cellStyle name="Vírgula 2 2 3" xfId="31" xr:uid="{00000000-0005-0000-0000-00002F000000}"/>
    <cellStyle name="Vírgula 2 3" xfId="11" xr:uid="{00000000-0005-0000-0000-000030000000}"/>
    <cellStyle name="Vírgula 2 3 2" xfId="20" xr:uid="{00000000-0005-0000-0000-000031000000}"/>
    <cellStyle name="Vírgula 2 3 2 2" xfId="39" xr:uid="{00000000-0005-0000-0000-000032000000}"/>
    <cellStyle name="Vírgula 2 3 3" xfId="30" xr:uid="{00000000-0005-0000-0000-000033000000}"/>
    <cellStyle name="Vírgula 2 4" xfId="50" xr:uid="{00000000-0005-0000-0000-000034000000}"/>
    <cellStyle name="Vírgula 2 5" xfId="51" xr:uid="{00000000-0005-0000-0000-000035000000}"/>
    <cellStyle name="Vírgula 2 6" xfId="64" xr:uid="{00000000-0005-0000-0000-000036000000}"/>
    <cellStyle name="Vírgula 2 7" xfId="68" xr:uid="{00000000-0005-0000-0000-000037000000}"/>
    <cellStyle name="Vírgula 2 8" xfId="70" xr:uid="{00000000-0005-0000-0000-000038000000}"/>
    <cellStyle name="Vírgula 3" xfId="13" xr:uid="{00000000-0005-0000-0000-000039000000}"/>
    <cellStyle name="Vírgula 3 2" xfId="19" xr:uid="{00000000-0005-0000-0000-00003A000000}"/>
    <cellStyle name="Vírgula 3 2 2" xfId="38" xr:uid="{00000000-0005-0000-0000-00003B000000}"/>
    <cellStyle name="Vírgula 3 3" xfId="32" xr:uid="{00000000-0005-0000-0000-00003C000000}"/>
    <cellStyle name="Vírgula 3 4" xfId="61" xr:uid="{00000000-0005-0000-0000-00003D000000}"/>
    <cellStyle name="Vírgula 3 5" xfId="62" xr:uid="{00000000-0005-0000-0000-00003E000000}"/>
    <cellStyle name="Vírgula 3 6" xfId="63" xr:uid="{00000000-0005-0000-0000-00003F000000}"/>
    <cellStyle name="Vírgula 4" xfId="14" xr:uid="{00000000-0005-0000-0000-000040000000}"/>
    <cellStyle name="Vírgula 4 2" xfId="33" xr:uid="{00000000-0005-0000-0000-000041000000}"/>
    <cellStyle name="Vírgula 5" xfId="9" xr:uid="{00000000-0005-0000-0000-000042000000}"/>
    <cellStyle name="Vírgula 5 2" xfId="10" xr:uid="{00000000-0005-0000-0000-000043000000}"/>
    <cellStyle name="Vírgula 5 2 2" xfId="17" xr:uid="{00000000-0005-0000-0000-000044000000}"/>
    <cellStyle name="Vírgula 5 2 2 2" xfId="36" xr:uid="{00000000-0005-0000-0000-000045000000}"/>
    <cellStyle name="Vírgula 5 2 3" xfId="29" xr:uid="{00000000-0005-0000-0000-000046000000}"/>
    <cellStyle name="Vírgula 5 3" xfId="16" xr:uid="{00000000-0005-0000-0000-000047000000}"/>
    <cellStyle name="Vírgula 5 3 2" xfId="35" xr:uid="{00000000-0005-0000-0000-000048000000}"/>
    <cellStyle name="Vírgula 5 4" xfId="28" xr:uid="{00000000-0005-0000-0000-000049000000}"/>
    <cellStyle name="Vírgula 6" xfId="21" xr:uid="{00000000-0005-0000-0000-00004A000000}"/>
    <cellStyle name="Vírgula 7" xfId="23" xr:uid="{00000000-0005-0000-0000-00004B000000}"/>
    <cellStyle name="Vírgula 8" xfId="8" xr:uid="{00000000-0005-0000-0000-00004C000000}"/>
    <cellStyle name="Vírgula 8 2" xfId="15" xr:uid="{00000000-0005-0000-0000-00004D000000}"/>
    <cellStyle name="Vírgula 8 2 2" xfId="34" xr:uid="{00000000-0005-0000-0000-00004E000000}"/>
    <cellStyle name="Vírgula 8 3" xfId="27" xr:uid="{00000000-0005-0000-0000-00004F000000}"/>
    <cellStyle name="Vírgula 9" xfId="40" xr:uid="{00000000-0005-0000-0000-000050000000}"/>
  </cellStyles>
  <dxfs count="0"/>
  <tableStyles count="0" defaultTableStyle="TableStyleMedium9" defaultPivotStyle="PivotStyleLight16"/>
  <colors>
    <mruColors>
      <color rgb="FF15315E"/>
      <color rgb="FFF2F2F2"/>
      <color rgb="FFCCFFCC"/>
      <color rgb="FF2F75B5"/>
      <color rgb="FF6600CC"/>
      <color rgb="FF9966FF"/>
      <color rgb="FF9BC2E6"/>
      <color rgb="FF2E75B6"/>
      <color rgb="FFFF9966"/>
      <color rgb="FFE9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nvestimentos!A1"/><Relationship Id="rId3" Type="http://schemas.openxmlformats.org/officeDocument/2006/relationships/hyperlink" Target="#'Endividamento '!A1"/><Relationship Id="rId7" Type="http://schemas.openxmlformats.org/officeDocument/2006/relationships/hyperlink" Target="#Dividendos!A1"/><Relationship Id="rId2" Type="http://schemas.openxmlformats.org/officeDocument/2006/relationships/hyperlink" Target="#'DRE '!A1"/><Relationship Id="rId1" Type="http://schemas.openxmlformats.org/officeDocument/2006/relationships/image" Target="../media/image1.png"/><Relationship Id="rId6" Type="http://schemas.openxmlformats.org/officeDocument/2006/relationships/hyperlink" Target="#'Breakdown Categoria'!A1"/><Relationship Id="rId5" Type="http://schemas.openxmlformats.org/officeDocument/2006/relationships/hyperlink" Target="#'Dados Oper '!A1"/><Relationship Id="rId4" Type="http://schemas.openxmlformats.org/officeDocument/2006/relationships/hyperlink" Target="#'Balan&#231;o Patrimonial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&#205;ndice!A1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10</xdr:row>
      <xdr:rowOff>133350</xdr:rowOff>
    </xdr:from>
    <xdr:to>
      <xdr:col>0</xdr:col>
      <xdr:colOff>409575</xdr:colOff>
      <xdr:row>20</xdr:row>
      <xdr:rowOff>124318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038350"/>
          <a:ext cx="3450343" cy="17190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5719</xdr:rowOff>
    </xdr:from>
    <xdr:to>
      <xdr:col>11</xdr:col>
      <xdr:colOff>215035</xdr:colOff>
      <xdr:row>4</xdr:row>
      <xdr:rowOff>35719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4898571" y="5719"/>
          <a:ext cx="2052000" cy="792000"/>
        </a:xfrm>
        <a:prstGeom prst="rect">
          <a:avLst/>
        </a:prstGeom>
        <a:solidFill>
          <a:srgbClr val="15315E"/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DRE</a:t>
          </a:r>
        </a:p>
      </xdr:txBody>
    </xdr:sp>
    <xdr:clientData/>
  </xdr:twoCellAnchor>
  <xdr:twoCellAnchor>
    <xdr:from>
      <xdr:col>7</xdr:col>
      <xdr:colOff>612320</xdr:colOff>
      <xdr:row>9</xdr:row>
      <xdr:rowOff>136688</xdr:rowOff>
    </xdr:from>
    <xdr:to>
      <xdr:col>11</xdr:col>
      <xdr:colOff>215034</xdr:colOff>
      <xdr:row>13</xdr:row>
      <xdr:rowOff>166688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4898570" y="1851188"/>
          <a:ext cx="2052000" cy="792000"/>
        </a:xfrm>
        <a:prstGeom prst="rect">
          <a:avLst/>
        </a:prstGeom>
        <a:solidFill>
          <a:srgbClr val="15315E"/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Endividamento</a:t>
          </a:r>
        </a:p>
      </xdr:txBody>
    </xdr:sp>
    <xdr:clientData/>
  </xdr:twoCellAnchor>
  <xdr:twoCellAnchor>
    <xdr:from>
      <xdr:col>7</xdr:col>
      <xdr:colOff>612320</xdr:colOff>
      <xdr:row>4</xdr:row>
      <xdr:rowOff>160500</xdr:rowOff>
    </xdr:from>
    <xdr:to>
      <xdr:col>11</xdr:col>
      <xdr:colOff>215034</xdr:colOff>
      <xdr:row>9</xdr:row>
      <xdr:rowOff>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4898570" y="922500"/>
          <a:ext cx="2052000" cy="792000"/>
        </a:xfrm>
        <a:prstGeom prst="rect">
          <a:avLst/>
        </a:prstGeom>
        <a:solidFill>
          <a:srgbClr val="15315E"/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Balanço Patrimonial</a:t>
          </a:r>
        </a:p>
      </xdr:txBody>
    </xdr:sp>
    <xdr:clientData/>
  </xdr:twoCellAnchor>
  <xdr:twoCellAnchor>
    <xdr:from>
      <xdr:col>8</xdr:col>
      <xdr:colOff>0</xdr:colOff>
      <xdr:row>19</xdr:row>
      <xdr:rowOff>135547</xdr:rowOff>
    </xdr:from>
    <xdr:to>
      <xdr:col>11</xdr:col>
      <xdr:colOff>215035</xdr:colOff>
      <xdr:row>22</xdr:row>
      <xdr:rowOff>165547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4898571" y="3700618"/>
          <a:ext cx="2052000" cy="792000"/>
        </a:xfrm>
        <a:prstGeom prst="rect">
          <a:avLst/>
        </a:prstGeom>
        <a:solidFill>
          <a:srgbClr val="15315E"/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Dados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Operacionais</a:t>
          </a:r>
        </a:p>
      </xdr:txBody>
    </xdr:sp>
    <xdr:clientData/>
  </xdr:twoCellAnchor>
  <xdr:twoCellAnchor>
    <xdr:from>
      <xdr:col>8</xdr:col>
      <xdr:colOff>0</xdr:colOff>
      <xdr:row>23</xdr:row>
      <xdr:rowOff>6563</xdr:rowOff>
    </xdr:from>
    <xdr:to>
      <xdr:col>11</xdr:col>
      <xdr:colOff>215035</xdr:colOff>
      <xdr:row>27</xdr:row>
      <xdr:rowOff>36563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4898571" y="4592170"/>
          <a:ext cx="2052000" cy="792000"/>
        </a:xfrm>
        <a:prstGeom prst="rect">
          <a:avLst/>
        </a:prstGeom>
        <a:solidFill>
          <a:srgbClr val="15315E"/>
        </a:solidFill>
        <a:scene3d>
          <a:camera prst="orthographicFront"/>
          <a:lightRig rig="threePt" dir="t"/>
        </a:scene3d>
        <a:sp3d extrusionH="76200" contourW="12700">
          <a:bevelT/>
          <a:extrusionClr>
            <a:schemeClr val="bg1"/>
          </a:extrusionClr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Breakdown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Categoria</a:t>
          </a:r>
        </a:p>
        <a:p>
          <a:pPr algn="l"/>
          <a:endParaRPr lang="pt-BR" sz="1100"/>
        </a:p>
      </xdr:txBody>
    </xdr:sp>
    <xdr:clientData/>
  </xdr:twoCellAnchor>
  <xdr:twoCellAnchor>
    <xdr:from>
      <xdr:col>8</xdr:col>
      <xdr:colOff>0</xdr:colOff>
      <xdr:row>27</xdr:row>
      <xdr:rowOff>167297</xdr:rowOff>
    </xdr:from>
    <xdr:to>
      <xdr:col>11</xdr:col>
      <xdr:colOff>215035</xdr:colOff>
      <xdr:row>32</xdr:row>
      <xdr:rowOff>6797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4898571" y="5514904"/>
          <a:ext cx="2052000" cy="792000"/>
        </a:xfrm>
        <a:prstGeom prst="rect">
          <a:avLst/>
        </a:prstGeom>
        <a:solidFill>
          <a:srgbClr val="15315E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Dividendos</a:t>
          </a:r>
        </a:p>
      </xdr:txBody>
    </xdr:sp>
    <xdr:clientData/>
  </xdr:twoCellAnchor>
  <xdr:twoCellAnchor>
    <xdr:from>
      <xdr:col>7</xdr:col>
      <xdr:colOff>612320</xdr:colOff>
      <xdr:row>15</xdr:row>
      <xdr:rowOff>13610</xdr:rowOff>
    </xdr:from>
    <xdr:to>
      <xdr:col>11</xdr:col>
      <xdr:colOff>215034</xdr:colOff>
      <xdr:row>18</xdr:row>
      <xdr:rowOff>424610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4898570" y="2735039"/>
          <a:ext cx="2052000" cy="792000"/>
        </a:xfrm>
        <a:prstGeom prst="rect">
          <a:avLst/>
        </a:prstGeom>
        <a:solidFill>
          <a:srgbClr val="15315E"/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Investimentos Anuais</a:t>
          </a:r>
        </a:p>
      </xdr:txBody>
    </xdr:sp>
    <xdr:clientData/>
  </xdr:twoCellAnchor>
  <xdr:twoCellAnchor editAs="oneCell">
    <xdr:from>
      <xdr:col>0</xdr:col>
      <xdr:colOff>511627</xdr:colOff>
      <xdr:row>15</xdr:row>
      <xdr:rowOff>185965</xdr:rowOff>
    </xdr:from>
    <xdr:to>
      <xdr:col>5</xdr:col>
      <xdr:colOff>575020</xdr:colOff>
      <xdr:row>20</xdr:row>
      <xdr:rowOff>83573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BF0BFCE8-AE7C-4D5D-B9EF-D91CE9278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1627" y="2907394"/>
          <a:ext cx="3125000" cy="931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295275</xdr:rowOff>
    </xdr:from>
    <xdr:to>
      <xdr:col>8</xdr:col>
      <xdr:colOff>357621</xdr:colOff>
      <xdr:row>0</xdr:row>
      <xdr:rowOff>686250</xdr:rowOff>
    </xdr:to>
    <xdr:sp macro="" textlink="">
      <xdr:nvSpPr>
        <xdr:cNvPr id="4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8039100" y="295275"/>
          <a:ext cx="1129146" cy="390975"/>
        </a:xfrm>
        <a:prstGeom prst="leftArrow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174626</xdr:colOff>
      <xdr:row>0</xdr:row>
      <xdr:rowOff>152400</xdr:rowOff>
    </xdr:from>
    <xdr:to>
      <xdr:col>0</xdr:col>
      <xdr:colOff>2712045</xdr:colOff>
      <xdr:row>0</xdr:row>
      <xdr:rowOff>872400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D8A0C9B-71CC-445C-AE58-52C0FD77D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6" y="152400"/>
          <a:ext cx="2537419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361950</xdr:rowOff>
    </xdr:from>
    <xdr:to>
      <xdr:col>9</xdr:col>
      <xdr:colOff>586221</xdr:colOff>
      <xdr:row>0</xdr:row>
      <xdr:rowOff>876750</xdr:rowOff>
    </xdr:to>
    <xdr:sp macro="" textlink="">
      <xdr:nvSpPr>
        <xdr:cNvPr id="6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11153775" y="361950"/>
          <a:ext cx="1110096" cy="514800"/>
        </a:xfrm>
        <a:prstGeom prst="leftArrow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107952</xdr:colOff>
      <xdr:row>0</xdr:row>
      <xdr:rowOff>120650</xdr:rowOff>
    </xdr:from>
    <xdr:to>
      <xdr:col>0</xdr:col>
      <xdr:colOff>2761530</xdr:colOff>
      <xdr:row>0</xdr:row>
      <xdr:rowOff>840650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6E9BD4C-6C76-4CC0-B143-71FC6F88E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2" y="120650"/>
          <a:ext cx="2653578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632113</xdr:colOff>
      <xdr:row>0</xdr:row>
      <xdr:rowOff>311728</xdr:rowOff>
    </xdr:from>
    <xdr:to>
      <xdr:col>10</xdr:col>
      <xdr:colOff>200891</xdr:colOff>
      <xdr:row>0</xdr:row>
      <xdr:rowOff>826528</xdr:rowOff>
    </xdr:to>
    <xdr:sp macro="" textlink="">
      <xdr:nvSpPr>
        <xdr:cNvPr id="4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1542568" y="311728"/>
          <a:ext cx="1110096" cy="514800"/>
        </a:xfrm>
        <a:prstGeom prst="leftArrow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105833</xdr:colOff>
      <xdr:row>0</xdr:row>
      <xdr:rowOff>70556</xdr:rowOff>
    </xdr:from>
    <xdr:to>
      <xdr:col>0</xdr:col>
      <xdr:colOff>2759033</xdr:colOff>
      <xdr:row>0</xdr:row>
      <xdr:rowOff>844200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F1FE17F-112A-4BAE-8F63-23170EC31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70556"/>
          <a:ext cx="2653200" cy="7736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133350</xdr:rowOff>
    </xdr:from>
    <xdr:to>
      <xdr:col>0</xdr:col>
      <xdr:colOff>342900</xdr:colOff>
      <xdr:row>9</xdr:row>
      <xdr:rowOff>34925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33350"/>
          <a:ext cx="2400299" cy="1238250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0</xdr:row>
      <xdr:rowOff>371475</xdr:rowOff>
    </xdr:from>
    <xdr:to>
      <xdr:col>7</xdr:col>
      <xdr:colOff>100446</xdr:colOff>
      <xdr:row>0</xdr:row>
      <xdr:rowOff>886275</xdr:rowOff>
    </xdr:to>
    <xdr:sp macro="" textlink="">
      <xdr:nvSpPr>
        <xdr:cNvPr id="4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9372600" y="371475"/>
          <a:ext cx="1110096" cy="514800"/>
        </a:xfrm>
        <a:prstGeom prst="leftArrow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139703</xdr:colOff>
      <xdr:row>0</xdr:row>
      <xdr:rowOff>165100</xdr:rowOff>
    </xdr:from>
    <xdr:to>
      <xdr:col>0</xdr:col>
      <xdr:colOff>2793282</xdr:colOff>
      <xdr:row>0</xdr:row>
      <xdr:rowOff>885100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869CF72-4AA3-42DF-AEFF-94643E41E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3" y="165100"/>
          <a:ext cx="2653579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161640</xdr:colOff>
      <xdr:row>0</xdr:row>
      <xdr:rowOff>0</xdr:rowOff>
    </xdr:from>
    <xdr:to>
      <xdr:col>0</xdr:col>
      <xdr:colOff>2815219</xdr:colOff>
      <xdr:row>0</xdr:row>
      <xdr:rowOff>720000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1D98DF6-2EF3-4B82-A870-853285034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40" y="150091"/>
          <a:ext cx="2653579" cy="720000"/>
        </a:xfrm>
        <a:prstGeom prst="rect">
          <a:avLst/>
        </a:prstGeom>
      </xdr:spPr>
    </xdr:pic>
    <xdr:clientData/>
  </xdr:twoCellAnchor>
  <xdr:twoCellAnchor>
    <xdr:from>
      <xdr:col>6</xdr:col>
      <xdr:colOff>155863</xdr:colOff>
      <xdr:row>0</xdr:row>
      <xdr:rowOff>311727</xdr:rowOff>
    </xdr:from>
    <xdr:to>
      <xdr:col>8</xdr:col>
      <xdr:colOff>53686</xdr:colOff>
      <xdr:row>0</xdr:row>
      <xdr:rowOff>826527</xdr:rowOff>
    </xdr:to>
    <xdr:sp macro="" textlink="">
      <xdr:nvSpPr>
        <xdr:cNvPr id="4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4BE183-79F0-46A3-8A6D-2CD279D8705B}"/>
            </a:ext>
          </a:extLst>
        </xdr:cNvPr>
        <xdr:cNvSpPr/>
      </xdr:nvSpPr>
      <xdr:spPr>
        <a:xfrm>
          <a:off x="6927272" y="1368136"/>
          <a:ext cx="1110096" cy="514800"/>
        </a:xfrm>
        <a:prstGeom prst="leftArrow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419100</xdr:rowOff>
    </xdr:from>
    <xdr:to>
      <xdr:col>10</xdr:col>
      <xdr:colOff>138546</xdr:colOff>
      <xdr:row>0</xdr:row>
      <xdr:rowOff>933900</xdr:rowOff>
    </xdr:to>
    <xdr:sp macro="" textlink="">
      <xdr:nvSpPr>
        <xdr:cNvPr id="3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362700" y="419100"/>
          <a:ext cx="1110096" cy="514800"/>
        </a:xfrm>
        <a:prstGeom prst="leftArrow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6353</xdr:colOff>
      <xdr:row>0</xdr:row>
      <xdr:rowOff>165100</xdr:rowOff>
    </xdr:from>
    <xdr:to>
      <xdr:col>1</xdr:col>
      <xdr:colOff>437432</xdr:colOff>
      <xdr:row>0</xdr:row>
      <xdr:rowOff>885100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9BA2813-D706-4DFF-94AE-FA5309539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3" y="165100"/>
          <a:ext cx="2653579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0</xdr:col>
      <xdr:colOff>190500</xdr:colOff>
      <xdr:row>0</xdr:row>
      <xdr:rowOff>1027002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1722438" cy="1027002"/>
        </a:xfrm>
        <a:prstGeom prst="rect">
          <a:avLst/>
        </a:prstGeom>
      </xdr:spPr>
    </xdr:pic>
    <xdr:clientData/>
  </xdr:twoCellAnchor>
  <xdr:twoCellAnchor>
    <xdr:from>
      <xdr:col>3</xdr:col>
      <xdr:colOff>63500</xdr:colOff>
      <xdr:row>0</xdr:row>
      <xdr:rowOff>404813</xdr:rowOff>
    </xdr:from>
    <xdr:to>
      <xdr:col>3</xdr:col>
      <xdr:colOff>873126</xdr:colOff>
      <xdr:row>0</xdr:row>
      <xdr:rowOff>849313</xdr:rowOff>
    </xdr:to>
    <xdr:sp macro="" textlink="">
      <xdr:nvSpPr>
        <xdr:cNvPr id="3" name="Set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 flipV="1">
          <a:off x="3270250" y="404813"/>
          <a:ext cx="809626" cy="444500"/>
        </a:xfrm>
        <a:prstGeom prst="leftArrow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74088</xdr:colOff>
      <xdr:row>0</xdr:row>
      <xdr:rowOff>259292</xdr:rowOff>
    </xdr:from>
    <xdr:to>
      <xdr:col>1</xdr:col>
      <xdr:colOff>820730</xdr:colOff>
      <xdr:row>0</xdr:row>
      <xdr:rowOff>799292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C117A44-D153-4A3C-8BAC-E1423C671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8" y="259292"/>
          <a:ext cx="1990184" cy="54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ANET04-NAS\DFI\10%20-%20DIVULGA&#199;&#195;O%20DE%20RESULTADOS\RESULTADOS%20TRIMESTRAIS\2022\1T22\PLANILHA%20BASE%201T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ANET04-NAS\DFI\10%20-%20DIVULGA&#199;&#195;O%20DE%20RESULTADOS\RESULTADOS%20TRIMESTRAIS\2021\3T21\PLANILHA%20BASE%203T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DIVULGA&#199;&#195;O%20DE%20RESULTADOS/03%20-%20RESULTADOS%20TRIMESTRAIS/2023/4T23/PLANILHA%20BASE%204T23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DIVULGA&#199;&#195;O%20DE%20RESULTADOS/02%20-%20RESULTADOS%20TRIMESTRAIS/2022/3T22/PLANILHA%20BASE%203T22%20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ANET04-NAS\DFI\10%20-%20DIVULGA&#199;&#195;O%20DE%20RESULTADOS\RESULTADOS%20TRIMESTRAIS\2022\2T22\PLANILHA%20BASE%202T22%20v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ANET04-NAS\DFI\10%20-%20DIVULGA&#199;&#195;O%20DE%20RESULTADOS\RESULTADOS%20TRIMESTRAIS\2020\3T20\DADOS%20RECEBIDOS\Contabilidade\Bal09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ANET04-NAS\DFI\10%20-%20DIVULGA&#199;&#195;O%20DE%20RESULTADOS\RESULTADOS%20TRIMESTRAIS\2020\4T20\PLANILHA%20BASE%204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IVIDAMENTO"/>
      <sheetName val="OPER_FIN 3P TRI"/>
      <sheetName val="FC 3P trimestral"/>
      <sheetName val="COMENT DESEMP"/>
      <sheetName val="Apresentação Interna"/>
      <sheetName val="Apresentação - Teleconferência"/>
      <sheetName val="Antiga - Apresentação - Mercado"/>
      <sheetName val="Antiga - Apresentação - Interna"/>
    </sheetNames>
    <sheetDataSet>
      <sheetData sheetId="0"/>
      <sheetData sheetId="1"/>
      <sheetData sheetId="2"/>
      <sheetData sheetId="3">
        <row r="130">
          <cell r="B130">
            <v>817279</v>
          </cell>
        </row>
        <row r="131">
          <cell r="B131">
            <v>428314</v>
          </cell>
        </row>
        <row r="134">
          <cell r="B134">
            <v>20756</v>
          </cell>
        </row>
        <row r="135">
          <cell r="B135">
            <v>1911</v>
          </cell>
        </row>
        <row r="138">
          <cell r="B138">
            <v>593</v>
          </cell>
        </row>
        <row r="154">
          <cell r="B154">
            <v>129508</v>
          </cell>
        </row>
        <row r="155">
          <cell r="B155">
            <v>23281</v>
          </cell>
        </row>
        <row r="157">
          <cell r="B157">
            <v>58556</v>
          </cell>
        </row>
        <row r="158">
          <cell r="B158">
            <v>43594</v>
          </cell>
        </row>
        <row r="159">
          <cell r="B159">
            <v>8608</v>
          </cell>
        </row>
        <row r="161">
          <cell r="B161">
            <v>149236</v>
          </cell>
        </row>
        <row r="162">
          <cell r="B162">
            <v>3008</v>
          </cell>
        </row>
        <row r="165">
          <cell r="B165">
            <v>-16448</v>
          </cell>
        </row>
        <row r="167">
          <cell r="B167">
            <v>182346</v>
          </cell>
        </row>
        <row r="258">
          <cell r="B258">
            <v>838035</v>
          </cell>
        </row>
        <row r="259">
          <cell r="B259">
            <v>430225</v>
          </cell>
        </row>
        <row r="260">
          <cell r="B260">
            <v>593</v>
          </cell>
        </row>
        <row r="261">
          <cell r="B261">
            <v>151498</v>
          </cell>
        </row>
        <row r="265">
          <cell r="B265">
            <v>-748995</v>
          </cell>
        </row>
        <row r="266">
          <cell r="B266">
            <v>-151498</v>
          </cell>
        </row>
        <row r="281">
          <cell r="B281">
            <v>91953</v>
          </cell>
        </row>
        <row r="282">
          <cell r="B282">
            <v>-114308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3P"/>
      <sheetName val="COMENT DESEMP"/>
      <sheetName val="Apresentação - Mercado"/>
      <sheetName val="Apresentação - Interna"/>
      <sheetName val="Ajuste PDVI"/>
      <sheetName val="9M21 - Agência Francesa"/>
    </sheetNames>
    <sheetDataSet>
      <sheetData sheetId="0"/>
      <sheetData sheetId="1"/>
      <sheetData sheetId="2"/>
      <sheetData sheetId="3">
        <row r="146">
          <cell r="B146">
            <v>119875</v>
          </cell>
        </row>
        <row r="147">
          <cell r="B147">
            <v>22241</v>
          </cell>
        </row>
        <row r="148">
          <cell r="B148">
            <v>19231</v>
          </cell>
        </row>
        <row r="149">
          <cell r="B149">
            <v>51866</v>
          </cell>
        </row>
        <row r="150">
          <cell r="B150">
            <v>43371</v>
          </cell>
        </row>
        <row r="151">
          <cell r="B151">
            <v>9157</v>
          </cell>
        </row>
        <row r="153">
          <cell r="B153">
            <v>152551</v>
          </cell>
        </row>
        <row r="154">
          <cell r="B154">
            <v>3656</v>
          </cell>
        </row>
        <row r="155">
          <cell r="B155">
            <v>19286</v>
          </cell>
        </row>
        <row r="156">
          <cell r="B156">
            <v>8354</v>
          </cell>
        </row>
        <row r="157">
          <cell r="B157">
            <v>-13833</v>
          </cell>
        </row>
        <row r="159">
          <cell r="B159">
            <v>170822</v>
          </cell>
        </row>
        <row r="160">
          <cell r="B160">
            <v>1088</v>
          </cell>
        </row>
        <row r="262">
          <cell r="B262">
            <v>-195415</v>
          </cell>
        </row>
        <row r="263">
          <cell r="B263">
            <v>36753</v>
          </cell>
        </row>
        <row r="264">
          <cell r="B264">
            <v>-138827</v>
          </cell>
        </row>
        <row r="265">
          <cell r="B265">
            <v>0</v>
          </cell>
        </row>
        <row r="266">
          <cell r="B266">
            <v>-3437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CPN"/>
      <sheetName val="BD CONSOL"/>
      <sheetName val="BD CSMG"/>
      <sheetName val="Dívida"/>
      <sheetName val="RELEASE"/>
      <sheetName val="RELEASE +PERIODO"/>
      <sheetName val="DEST_GRAFICOS"/>
      <sheetName val="End"/>
      <sheetName val="RELATORIO GERENCIAL"/>
      <sheetName val="ITR"/>
      <sheetName val="MAIL OPER PT"/>
      <sheetName val="MAIL OPER_EN"/>
      <sheetName val="Site"/>
      <sheetName val="MAIL FIN_PT"/>
      <sheetName val="MAIL FIN_EN"/>
      <sheetName val="Destaques Financeiros"/>
      <sheetName val="Apresentação - Teleconferência"/>
      <sheetName val="Dados Operacionais"/>
      <sheetName val="Investimento"/>
      <sheetName val="Custos Administráveis e não Adm"/>
      <sheetName val="Concessões"/>
      <sheetName val="Endividamento"/>
      <sheetName val="Receita, Economia e Volume"/>
      <sheetName val="EBITDA E L.L"/>
      <sheetName val="Outras Rec, Eq Patr,Result fina"/>
      <sheetName val="Apresentação Interna"/>
      <sheetName val="Breakdown Categoria"/>
    </sheetNames>
    <sheetDataSet>
      <sheetData sheetId="0"/>
      <sheetData sheetId="1">
        <row r="1">
          <cell r="F1"/>
        </row>
      </sheetData>
      <sheetData sheetId="2">
        <row r="110">
          <cell r="E110" t="str">
            <v>Materiais</v>
          </cell>
        </row>
        <row r="207">
          <cell r="F207">
            <v>1157016</v>
          </cell>
        </row>
        <row r="208">
          <cell r="F208">
            <v>600816</v>
          </cell>
        </row>
        <row r="209">
          <cell r="F209">
            <v>1231</v>
          </cell>
        </row>
        <row r="237">
          <cell r="G237">
            <v>-70959</v>
          </cell>
          <cell r="H237">
            <v>-50389</v>
          </cell>
          <cell r="I237">
            <v>-102519</v>
          </cell>
          <cell r="J237">
            <v>18393</v>
          </cell>
          <cell r="K237">
            <v>-87280</v>
          </cell>
          <cell r="L237">
            <v>-58065</v>
          </cell>
          <cell r="M237">
            <v>0</v>
          </cell>
          <cell r="N237">
            <v>-57964</v>
          </cell>
          <cell r="O237">
            <v>29121</v>
          </cell>
          <cell r="P237">
            <v>-105557</v>
          </cell>
          <cell r="Q237">
            <v>-123105</v>
          </cell>
          <cell r="R237">
            <v>-80199</v>
          </cell>
          <cell r="S237">
            <v>-95493</v>
          </cell>
          <cell r="T237">
            <v>-83185</v>
          </cell>
          <cell r="U237">
            <v>-90758</v>
          </cell>
          <cell r="V237">
            <v>-69562</v>
          </cell>
          <cell r="W237">
            <v>-91243</v>
          </cell>
          <cell r="X237">
            <v>-66497</v>
          </cell>
          <cell r="Y237">
            <v>-70867</v>
          </cell>
        </row>
        <row r="238">
          <cell r="G238">
            <v>-77080</v>
          </cell>
          <cell r="H238">
            <v>-5094</v>
          </cell>
          <cell r="I238">
            <v>3698</v>
          </cell>
          <cell r="J238">
            <v>-17310</v>
          </cell>
          <cell r="K238">
            <v>10802</v>
          </cell>
          <cell r="L238">
            <v>2630</v>
          </cell>
          <cell r="M238">
            <v>-71762</v>
          </cell>
          <cell r="N238">
            <v>71563</v>
          </cell>
          <cell r="O238">
            <v>12445</v>
          </cell>
          <cell r="P238">
            <v>18268</v>
          </cell>
          <cell r="Q238">
            <v>38367</v>
          </cell>
          <cell r="R238">
            <v>-7426</v>
          </cell>
          <cell r="S238">
            <v>8310</v>
          </cell>
          <cell r="T238">
            <v>31135</v>
          </cell>
          <cell r="U238">
            <v>28818</v>
          </cell>
          <cell r="V238">
            <v>-9808</v>
          </cell>
          <cell r="W238">
            <v>19079</v>
          </cell>
          <cell r="X238">
            <v>19082</v>
          </cell>
          <cell r="Y238">
            <v>1886</v>
          </cell>
        </row>
      </sheetData>
      <sheetData sheetId="3"/>
      <sheetData sheetId="4">
        <row r="1">
          <cell r="B1" t="str">
            <v>COL PROCV</v>
          </cell>
        </row>
        <row r="27">
          <cell r="C27">
            <v>638</v>
          </cell>
        </row>
        <row r="28">
          <cell r="C28">
            <v>633</v>
          </cell>
        </row>
        <row r="30">
          <cell r="C30">
            <v>309</v>
          </cell>
        </row>
        <row r="31">
          <cell r="C31">
            <v>273</v>
          </cell>
        </row>
        <row r="53">
          <cell r="C53">
            <v>103210.15036</v>
          </cell>
        </row>
        <row r="57">
          <cell r="C57">
            <v>93.1</v>
          </cell>
        </row>
        <row r="86">
          <cell r="C86">
            <v>4680.6610000000001</v>
          </cell>
        </row>
        <row r="87">
          <cell r="C87">
            <v>5643.7440000000006</v>
          </cell>
        </row>
        <row r="88">
          <cell r="C88">
            <v>11789.374</v>
          </cell>
        </row>
        <row r="90">
          <cell r="C90">
            <v>181144.47544000001</v>
          </cell>
        </row>
        <row r="91">
          <cell r="C91">
            <v>65945.649000000005</v>
          </cell>
        </row>
        <row r="94">
          <cell r="C94">
            <v>3194.239</v>
          </cell>
        </row>
        <row r="95">
          <cell r="C95">
            <v>4051.5920000000001</v>
          </cell>
        </row>
        <row r="96">
          <cell r="C96">
            <v>8602.7029999999995</v>
          </cell>
        </row>
        <row r="97">
          <cell r="C97">
            <v>123857.49034</v>
          </cell>
        </row>
        <row r="98">
          <cell r="C98">
            <v>33666.353810000001</v>
          </cell>
        </row>
        <row r="104">
          <cell r="C104">
            <v>9542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COPASA"/>
      <sheetName val="BD COPANOR"/>
      <sheetName val="BD CONSOLIDADO"/>
      <sheetName val="DESTAQUES E GRAFICOS"/>
      <sheetName val="ENDIVIDAMENTO"/>
      <sheetName val="RELEASE"/>
      <sheetName val="FC 3P trimestral"/>
      <sheetName val="MAILING OPERACIONAL EM INGLÊS"/>
      <sheetName val="MAILING FINANCEIRO EM INGLÊS"/>
      <sheetName val="MAILING FINANCEIRO"/>
      <sheetName val="MAILING OPERACIONAL"/>
      <sheetName val="ITR"/>
      <sheetName val="RELATORIO GERENCIAL"/>
      <sheetName val="Apresentação Interna"/>
      <sheetName val="Apresentação - Teleconferê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B56">
            <v>7421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IVIDAMENTO"/>
      <sheetName val="OPER_FIN 3P TRI"/>
      <sheetName val="FC 3P trimestral"/>
      <sheetName val="COMENT DESEMP 2P"/>
      <sheetName val="Apresentação Interna"/>
      <sheetName val="Apresentação - Teleconferência"/>
    </sheetNames>
    <sheetDataSet>
      <sheetData sheetId="0"/>
      <sheetData sheetId="1"/>
      <sheetData sheetId="2"/>
      <sheetData sheetId="3">
        <row r="279">
          <cell r="B279">
            <v>33732</v>
          </cell>
        </row>
        <row r="280">
          <cell r="B280">
            <v>-49004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Quadro 6"/>
      <sheetName val="Quadro 7"/>
      <sheetName val="F.01 CSMG"/>
      <sheetName val="Planilha1"/>
      <sheetName val="DF Ind. - Ativo"/>
      <sheetName val="DF Ind. - Passivo"/>
      <sheetName val="DF Ind. - Resultado Período"/>
      <sheetName val="DF Ind. - DMPL - 31032017"/>
      <sheetName val="bal CSMG032017"/>
    </sheetNames>
    <sheetDataSet>
      <sheetData sheetId="0" refreshError="1">
        <row r="28">
          <cell r="B28">
            <v>202966</v>
          </cell>
        </row>
        <row r="29">
          <cell r="B29">
            <v>82431</v>
          </cell>
        </row>
        <row r="31">
          <cell r="B31">
            <v>2125</v>
          </cell>
        </row>
        <row r="32">
          <cell r="B32">
            <v>268688</v>
          </cell>
        </row>
        <row r="33">
          <cell r="B33">
            <v>592939</v>
          </cell>
        </row>
        <row r="34">
          <cell r="B34">
            <v>27029</v>
          </cell>
        </row>
        <row r="36">
          <cell r="B36">
            <v>29301</v>
          </cell>
        </row>
        <row r="37">
          <cell r="B37">
            <v>1232009</v>
          </cell>
        </row>
        <row r="40">
          <cell r="B40">
            <v>163151</v>
          </cell>
        </row>
        <row r="42">
          <cell r="B42">
            <v>5486899</v>
          </cell>
        </row>
        <row r="43">
          <cell r="B43">
            <v>1514377</v>
          </cell>
        </row>
        <row r="75">
          <cell r="B75">
            <v>203751</v>
          </cell>
        </row>
        <row r="76">
          <cell r="B76">
            <v>18225</v>
          </cell>
        </row>
        <row r="77">
          <cell r="B77">
            <v>166628</v>
          </cell>
        </row>
        <row r="78">
          <cell r="B78">
            <v>207961</v>
          </cell>
        </row>
        <row r="79">
          <cell r="B79">
            <v>362218</v>
          </cell>
        </row>
        <row r="80">
          <cell r="B80">
            <v>17959</v>
          </cell>
        </row>
        <row r="81">
          <cell r="B81">
            <v>55180</v>
          </cell>
        </row>
        <row r="82">
          <cell r="B82">
            <v>79953</v>
          </cell>
        </row>
        <row r="83">
          <cell r="B83">
            <v>181630</v>
          </cell>
        </row>
        <row r="85">
          <cell r="B85">
            <v>3066</v>
          </cell>
        </row>
        <row r="86">
          <cell r="B86">
            <v>20085</v>
          </cell>
        </row>
        <row r="87">
          <cell r="B87">
            <v>59857</v>
          </cell>
        </row>
        <row r="89">
          <cell r="B89">
            <v>91085</v>
          </cell>
        </row>
        <row r="96">
          <cell r="B96">
            <v>1150055</v>
          </cell>
        </row>
        <row r="97">
          <cell r="B97">
            <v>1606270</v>
          </cell>
        </row>
        <row r="98">
          <cell r="B98">
            <v>14786</v>
          </cell>
        </row>
        <row r="99">
          <cell r="B99">
            <v>265903</v>
          </cell>
        </row>
        <row r="100">
          <cell r="B100">
            <v>150883</v>
          </cell>
        </row>
        <row r="102">
          <cell r="B102">
            <v>138940</v>
          </cell>
        </row>
        <row r="105">
          <cell r="B105">
            <v>88511</v>
          </cell>
        </row>
        <row r="111">
          <cell r="B111">
            <v>3402385</v>
          </cell>
        </row>
        <row r="112">
          <cell r="B112">
            <v>-8576</v>
          </cell>
        </row>
        <row r="113">
          <cell r="B113">
            <v>3378939</v>
          </cell>
        </row>
        <row r="114">
          <cell r="B114">
            <v>-22462</v>
          </cell>
        </row>
        <row r="115">
          <cell r="B115">
            <v>395402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 RELEASE DESTAQUES E GRAFICOS"/>
      <sheetName val="END."/>
      <sheetName val="OPER_FIN 3P TRI"/>
      <sheetName val="FC 2P"/>
      <sheetName val="Apresentação - Mercado"/>
      <sheetName val="Apresentação - Interna"/>
    </sheetNames>
    <sheetDataSet>
      <sheetData sheetId="0" refreshError="1">
        <row r="638">
          <cell r="B638">
            <v>3402385</v>
          </cell>
        </row>
        <row r="639">
          <cell r="B639">
            <v>-8576</v>
          </cell>
        </row>
        <row r="640">
          <cell r="B640">
            <v>3147591</v>
          </cell>
        </row>
        <row r="641">
          <cell r="B641">
            <v>-84788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Personalizada 3">
      <a:dk1>
        <a:sysClr val="windowText" lastClr="000000"/>
      </a:dk1>
      <a:lt1>
        <a:sysClr val="window" lastClr="FFFFFF"/>
      </a:lt1>
      <a:dk2>
        <a:srgbClr val="0F243E"/>
      </a:dk2>
      <a:lt2>
        <a:srgbClr val="EEECE1"/>
      </a:lt2>
      <a:accent1>
        <a:srgbClr val="002060"/>
      </a:accent1>
      <a:accent2>
        <a:srgbClr val="2B66AF"/>
      </a:accent2>
      <a:accent3>
        <a:srgbClr val="508BD4"/>
      </a:accent3>
      <a:accent4>
        <a:srgbClr val="95B9E5"/>
      </a:accent4>
      <a:accent5>
        <a:srgbClr val="B9D0ED"/>
      </a:accent5>
      <a:accent6>
        <a:srgbClr val="CADCF2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pi.mziq.com/mzfilemanager/v2/d/8bdb3906-0618-4e78-bbe3-a0be9f02d8cc/1e030373-657f-da63-dcb3-56e1a052a923?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L53"/>
  <sheetViews>
    <sheetView zoomScale="70" zoomScaleNormal="70" workbookViewId="0"/>
  </sheetViews>
  <sheetFormatPr defaultColWidth="0" defaultRowHeight="15" customHeight="1" zeroHeight="1" x14ac:dyDescent="0.25"/>
  <cols>
    <col min="1" max="12" width="9.140625" style="99" customWidth="1"/>
    <col min="13" max="16384" width="9.140625" style="99" hidden="1"/>
  </cols>
  <sheetData>
    <row r="1" spans="1:12" s="208" customForma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208" customForma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208" customForma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208" customForma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208" customForma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s="208" customForma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s="208" customForma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208" customForma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s="208" customForma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s="208" customForma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208" customFormat="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s="208" customForma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s="208" customFormat="1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s="208" customFormat="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s="208" customFormat="1" ht="4.5" customHeight="1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s="208" customFormat="1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s="208" customFormat="1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s="208" customFormat="1" ht="31.5" hidden="1" x14ac:dyDescent="0.5">
      <c r="A18" s="350" t="s">
        <v>266</v>
      </c>
      <c r="B18" s="350"/>
      <c r="C18" s="350"/>
      <c r="D18" s="350"/>
      <c r="E18" s="350"/>
      <c r="F18" s="350"/>
      <c r="G18" s="350"/>
      <c r="H18" s="99"/>
      <c r="I18" s="99"/>
      <c r="J18" s="99"/>
      <c r="K18" s="99"/>
      <c r="L18" s="99"/>
    </row>
    <row r="19" spans="1:12" ht="36.75" customHeight="1" x14ac:dyDescent="0.25"/>
    <row r="20" spans="1:12" s="208" customFormat="1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s="208" customFormat="1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s="208" customFormat="1" ht="30" customHeight="1" x14ac:dyDescent="0.5">
      <c r="A22" s="351" t="s">
        <v>266</v>
      </c>
      <c r="B22" s="351"/>
      <c r="C22" s="351"/>
      <c r="D22" s="351"/>
      <c r="E22" s="351"/>
      <c r="F22" s="351"/>
      <c r="G22" s="351"/>
      <c r="H22" s="99"/>
      <c r="I22" s="99"/>
      <c r="J22" s="99"/>
      <c r="K22" s="99"/>
      <c r="L22" s="99"/>
    </row>
    <row r="23" spans="1:12" s="208" customFormat="1" ht="20.25" customHeight="1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s="208" customFormat="1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x14ac:dyDescent="0.25"/>
    <row r="26" spans="1:12" x14ac:dyDescent="0.25"/>
    <row r="27" spans="1:12" x14ac:dyDescent="0.25"/>
    <row r="28" spans="1:12" x14ac:dyDescent="0.25"/>
    <row r="29" spans="1:12" x14ac:dyDescent="0.25"/>
    <row r="30" spans="1:12" x14ac:dyDescent="0.25"/>
    <row r="31" spans="1:12" x14ac:dyDescent="0.25"/>
    <row r="32" spans="1:12" x14ac:dyDescent="0.25"/>
    <row r="33" x14ac:dyDescent="0.25"/>
    <row r="34" x14ac:dyDescent="0.25"/>
    <row r="35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2">
    <mergeCell ref="A18:G18"/>
    <mergeCell ref="A22:G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A122"/>
  <sheetViews>
    <sheetView topLeftCell="A73" workbookViewId="0">
      <selection activeCell="B21" sqref="B21"/>
    </sheetView>
  </sheetViews>
  <sheetFormatPr defaultColWidth="9.140625" defaultRowHeight="15" x14ac:dyDescent="0.25"/>
  <cols>
    <col min="1" max="1" width="50.140625" style="10" customWidth="1"/>
    <col min="2" max="3" width="11.7109375" style="17" customWidth="1"/>
    <col min="4" max="6" width="11.7109375" style="338" customWidth="1"/>
    <col min="7" max="20" width="11.7109375" style="17" customWidth="1"/>
    <col min="21" max="21" width="11.7109375" style="16" customWidth="1"/>
    <col min="22" max="22" width="11.7109375" style="17" customWidth="1"/>
    <col min="23" max="23" width="11.7109375" style="16" customWidth="1"/>
    <col min="24" max="53" width="11.7109375" style="17" customWidth="1"/>
    <col min="54" max="54" width="11.28515625" style="1" customWidth="1"/>
    <col min="55" max="16384" width="9.140625" style="1"/>
  </cols>
  <sheetData>
    <row r="1" spans="1:53" s="99" customFormat="1" ht="86.25" customHeight="1" x14ac:dyDescent="0.25">
      <c r="A1" s="206"/>
      <c r="B1" s="206"/>
      <c r="C1" s="206"/>
      <c r="D1" s="206"/>
      <c r="E1" s="206"/>
      <c r="F1" s="206"/>
      <c r="G1" s="206" t="s">
        <v>141</v>
      </c>
      <c r="H1" s="206"/>
      <c r="I1" s="352"/>
      <c r="J1" s="352"/>
      <c r="K1" s="206"/>
      <c r="L1" s="353" t="s">
        <v>142</v>
      </c>
      <c r="M1" s="353"/>
      <c r="N1" s="353"/>
      <c r="O1" s="353"/>
      <c r="P1" s="353"/>
      <c r="Q1" s="166"/>
      <c r="R1" s="166"/>
      <c r="S1" s="166"/>
      <c r="T1" s="166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92" customFormat="1" x14ac:dyDescent="0.25">
      <c r="A2" s="305" t="s">
        <v>143</v>
      </c>
      <c r="B2" s="290" t="s">
        <v>447</v>
      </c>
      <c r="C2" s="290" t="s">
        <v>407</v>
      </c>
      <c r="D2" s="290" t="s">
        <v>404</v>
      </c>
      <c r="E2" s="290" t="s">
        <v>140</v>
      </c>
      <c r="F2" s="290" t="s">
        <v>136</v>
      </c>
      <c r="G2" s="291" t="s">
        <v>133</v>
      </c>
      <c r="H2" s="291" t="s">
        <v>73</v>
      </c>
      <c r="I2" s="291" t="s">
        <v>72</v>
      </c>
      <c r="J2" s="291" t="s">
        <v>69</v>
      </c>
      <c r="K2" s="291" t="s">
        <v>70</v>
      </c>
      <c r="L2" s="291" t="s">
        <v>67</v>
      </c>
      <c r="M2" s="291" t="s">
        <v>66</v>
      </c>
      <c r="N2" s="291" t="s">
        <v>63</v>
      </c>
      <c r="O2" s="291" t="s">
        <v>61</v>
      </c>
      <c r="P2" s="291" t="s">
        <v>60</v>
      </c>
      <c r="Q2" s="291" t="s">
        <v>59</v>
      </c>
      <c r="R2" s="291" t="s">
        <v>58</v>
      </c>
      <c r="S2" s="291" t="s">
        <v>57</v>
      </c>
      <c r="T2" s="291" t="s">
        <v>56</v>
      </c>
      <c r="U2" s="291" t="s">
        <v>55</v>
      </c>
      <c r="V2" s="291" t="s">
        <v>31</v>
      </c>
      <c r="W2" s="291" t="s">
        <v>29</v>
      </c>
      <c r="X2" s="291" t="s">
        <v>22</v>
      </c>
      <c r="Y2" s="291" t="s">
        <v>13</v>
      </c>
      <c r="Z2" s="291" t="s">
        <v>14</v>
      </c>
      <c r="AA2" s="291" t="s">
        <v>15</v>
      </c>
      <c r="AB2" s="291" t="s">
        <v>16</v>
      </c>
      <c r="AC2" s="291" t="s">
        <v>11</v>
      </c>
      <c r="AD2" s="291" t="s">
        <v>17</v>
      </c>
      <c r="AE2" s="291" t="s">
        <v>18</v>
      </c>
      <c r="AF2" s="291" t="s">
        <v>19</v>
      </c>
      <c r="AG2" s="291" t="s">
        <v>3</v>
      </c>
      <c r="AH2" s="291" t="s">
        <v>90</v>
      </c>
      <c r="AI2" s="291" t="s">
        <v>91</v>
      </c>
      <c r="AJ2" s="291" t="s">
        <v>92</v>
      </c>
      <c r="AK2" s="291" t="s">
        <v>93</v>
      </c>
      <c r="AL2" s="291" t="s">
        <v>94</v>
      </c>
      <c r="AM2" s="291" t="s">
        <v>95</v>
      </c>
      <c r="AN2" s="291" t="s">
        <v>96</v>
      </c>
      <c r="AO2" s="291" t="s">
        <v>97</v>
      </c>
      <c r="AP2" s="291" t="s">
        <v>98</v>
      </c>
      <c r="AQ2" s="291" t="s">
        <v>99</v>
      </c>
      <c r="AR2" s="291" t="s">
        <v>100</v>
      </c>
      <c r="AS2" s="291" t="s">
        <v>101</v>
      </c>
      <c r="AT2" s="291" t="s">
        <v>102</v>
      </c>
      <c r="AU2" s="291" t="s">
        <v>103</v>
      </c>
      <c r="AV2" s="291" t="s">
        <v>104</v>
      </c>
      <c r="AW2" s="291" t="s">
        <v>105</v>
      </c>
      <c r="AX2" s="291" t="s">
        <v>106</v>
      </c>
      <c r="AY2" s="291" t="s">
        <v>107</v>
      </c>
      <c r="AZ2" s="291" t="s">
        <v>108</v>
      </c>
      <c r="BA2" s="291" t="s">
        <v>109</v>
      </c>
    </row>
    <row r="3" spans="1:53" s="99" customFormat="1" x14ac:dyDescent="0.25">
      <c r="A3" s="18" t="s">
        <v>144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</row>
    <row r="4" spans="1:53" s="99" customFormat="1" x14ac:dyDescent="0.25">
      <c r="A4" s="23"/>
      <c r="B4" s="318"/>
      <c r="C4" s="318"/>
      <c r="D4" s="318"/>
      <c r="E4" s="318"/>
      <c r="F4" s="318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0"/>
      <c r="V4" s="319"/>
      <c r="W4" s="320"/>
      <c r="X4" s="319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</row>
    <row r="5" spans="1:53" s="5" customFormat="1" x14ac:dyDescent="0.25">
      <c r="A5" s="306" t="s">
        <v>8</v>
      </c>
      <c r="B5" s="322">
        <v>1157016</v>
      </c>
      <c r="C5" s="322">
        <v>1064283</v>
      </c>
      <c r="D5" s="322">
        <v>1035855</v>
      </c>
      <c r="E5" s="322">
        <v>1042113</v>
      </c>
      <c r="F5" s="322">
        <v>919643</v>
      </c>
      <c r="G5" s="322">
        <v>917073</v>
      </c>
      <c r="H5" s="322">
        <v>886976</v>
      </c>
      <c r="I5" s="322">
        <f>'[1]OPER_FIN 3P TRI'!B258</f>
        <v>838035</v>
      </c>
      <c r="J5" s="322">
        <v>853535</v>
      </c>
      <c r="K5" s="322">
        <v>860103</v>
      </c>
      <c r="L5" s="322">
        <v>825426</v>
      </c>
      <c r="M5" s="322">
        <v>816161</v>
      </c>
      <c r="N5" s="322">
        <v>855883</v>
      </c>
      <c r="O5" s="322">
        <v>816269</v>
      </c>
      <c r="P5" s="322">
        <v>752367</v>
      </c>
      <c r="Q5" s="322">
        <v>769225</v>
      </c>
      <c r="R5" s="322">
        <v>823112</v>
      </c>
      <c r="S5" s="322">
        <v>767331</v>
      </c>
      <c r="T5" s="322">
        <v>693209</v>
      </c>
      <c r="U5" s="322">
        <v>711384</v>
      </c>
      <c r="V5" s="322">
        <v>695064</v>
      </c>
      <c r="W5" s="322">
        <v>668381</v>
      </c>
      <c r="X5" s="322">
        <v>656973</v>
      </c>
      <c r="Y5" s="322">
        <v>666428</v>
      </c>
      <c r="Z5" s="322">
        <v>680268</v>
      </c>
      <c r="AA5" s="322">
        <v>667504</v>
      </c>
      <c r="AB5" s="322">
        <v>601320</v>
      </c>
      <c r="AC5" s="322">
        <v>637248</v>
      </c>
      <c r="AD5" s="322">
        <v>616112</v>
      </c>
      <c r="AE5" s="322">
        <v>632376</v>
      </c>
      <c r="AF5" s="322">
        <v>578560</v>
      </c>
      <c r="AG5" s="322">
        <v>541096</v>
      </c>
      <c r="AH5" s="322">
        <v>565274</v>
      </c>
      <c r="AI5" s="322">
        <v>524334</v>
      </c>
      <c r="AJ5" s="322">
        <v>487203</v>
      </c>
      <c r="AK5" s="322">
        <v>485686</v>
      </c>
      <c r="AL5" s="322">
        <v>511700</v>
      </c>
      <c r="AM5" s="322">
        <v>516931</v>
      </c>
      <c r="AN5" s="322">
        <v>502681</v>
      </c>
      <c r="AO5" s="322">
        <v>521882</v>
      </c>
      <c r="AP5" s="322">
        <v>515416</v>
      </c>
      <c r="AQ5" s="322">
        <v>507451</v>
      </c>
      <c r="AR5" s="322">
        <v>475463</v>
      </c>
      <c r="AS5" s="322">
        <v>482342</v>
      </c>
      <c r="AT5" s="322">
        <v>489660</v>
      </c>
      <c r="AU5" s="322">
        <v>468980.8</v>
      </c>
      <c r="AV5" s="322">
        <v>441054</v>
      </c>
      <c r="AW5" s="322">
        <v>458671</v>
      </c>
      <c r="AX5" s="322">
        <v>445077</v>
      </c>
      <c r="AY5" s="322">
        <v>463992</v>
      </c>
      <c r="AZ5" s="322">
        <v>434337</v>
      </c>
      <c r="BA5" s="322">
        <v>440577</v>
      </c>
    </row>
    <row r="6" spans="1:53" s="5" customFormat="1" x14ac:dyDescent="0.25">
      <c r="A6" s="307" t="s">
        <v>34</v>
      </c>
      <c r="B6" s="323">
        <v>600816</v>
      </c>
      <c r="C6" s="323">
        <v>554590</v>
      </c>
      <c r="D6" s="323">
        <v>536025</v>
      </c>
      <c r="E6" s="323">
        <v>531514</v>
      </c>
      <c r="F6" s="323">
        <v>468460</v>
      </c>
      <c r="G6" s="323">
        <v>458624</v>
      </c>
      <c r="H6" s="323">
        <v>450354</v>
      </c>
      <c r="I6" s="323">
        <f>'[1]OPER_FIN 3P TRI'!B259</f>
        <v>430225</v>
      </c>
      <c r="J6" s="323">
        <v>434947</v>
      </c>
      <c r="K6" s="323">
        <v>446561</v>
      </c>
      <c r="L6" s="323">
        <v>477371</v>
      </c>
      <c r="M6" s="323">
        <v>465417</v>
      </c>
      <c r="N6" s="323">
        <v>488260</v>
      </c>
      <c r="O6" s="323">
        <v>458044</v>
      </c>
      <c r="P6" s="323">
        <v>432945</v>
      </c>
      <c r="Q6" s="323">
        <v>439994</v>
      </c>
      <c r="R6" s="323">
        <v>468447</v>
      </c>
      <c r="S6" s="323">
        <v>433944</v>
      </c>
      <c r="T6" s="323">
        <v>392568</v>
      </c>
      <c r="U6" s="323">
        <v>393226</v>
      </c>
      <c r="V6" s="323">
        <v>395325</v>
      </c>
      <c r="W6" s="323">
        <v>365302</v>
      </c>
      <c r="X6" s="323">
        <v>361772</v>
      </c>
      <c r="Y6" s="323">
        <v>360444</v>
      </c>
      <c r="Z6" s="323">
        <v>374942</v>
      </c>
      <c r="AA6" s="323">
        <v>362604</v>
      </c>
      <c r="AB6" s="323">
        <v>332311</v>
      </c>
      <c r="AC6" s="323">
        <v>341410</v>
      </c>
      <c r="AD6" s="323">
        <v>332392</v>
      </c>
      <c r="AE6" s="323">
        <v>339850</v>
      </c>
      <c r="AF6" s="323">
        <v>313517</v>
      </c>
      <c r="AG6" s="323">
        <v>289715</v>
      </c>
      <c r="AH6" s="323">
        <v>298689</v>
      </c>
      <c r="AI6" s="323">
        <v>275649</v>
      </c>
      <c r="AJ6" s="323">
        <v>257905</v>
      </c>
      <c r="AK6" s="323">
        <v>249441</v>
      </c>
      <c r="AL6" s="323">
        <v>271996</v>
      </c>
      <c r="AM6" s="323">
        <v>273678</v>
      </c>
      <c r="AN6" s="323">
        <v>265909</v>
      </c>
      <c r="AO6" s="323">
        <v>267377</v>
      </c>
      <c r="AP6" s="323">
        <v>264966</v>
      </c>
      <c r="AQ6" s="323">
        <v>263112</v>
      </c>
      <c r="AR6" s="323">
        <v>250393</v>
      </c>
      <c r="AS6" s="323">
        <v>248594</v>
      </c>
      <c r="AT6" s="323">
        <v>253861</v>
      </c>
      <c r="AU6" s="323">
        <v>241735.7</v>
      </c>
      <c r="AV6" s="323">
        <v>213727</v>
      </c>
      <c r="AW6" s="323">
        <v>200675</v>
      </c>
      <c r="AX6" s="323">
        <v>192848</v>
      </c>
      <c r="AY6" s="323">
        <v>197760</v>
      </c>
      <c r="AZ6" s="323">
        <v>177346</v>
      </c>
      <c r="BA6" s="323">
        <v>157673</v>
      </c>
    </row>
    <row r="7" spans="1:53" s="5" customFormat="1" x14ac:dyDescent="0.25">
      <c r="A7" s="306" t="s">
        <v>20</v>
      </c>
      <c r="B7" s="322">
        <v>1231</v>
      </c>
      <c r="C7" s="322">
        <v>1163</v>
      </c>
      <c r="D7" s="322">
        <v>1554</v>
      </c>
      <c r="E7" s="322">
        <v>910</v>
      </c>
      <c r="F7" s="322">
        <v>656</v>
      </c>
      <c r="G7" s="322">
        <v>506</v>
      </c>
      <c r="H7" s="322">
        <v>344</v>
      </c>
      <c r="I7" s="322">
        <f>'[1]OPER_FIN 3P TRI'!B260</f>
        <v>593</v>
      </c>
      <c r="J7" s="322">
        <v>555</v>
      </c>
      <c r="K7" s="322">
        <v>537</v>
      </c>
      <c r="L7" s="322">
        <v>563</v>
      </c>
      <c r="M7" s="322">
        <v>610</v>
      </c>
      <c r="N7" s="322">
        <v>542</v>
      </c>
      <c r="O7" s="322">
        <v>519</v>
      </c>
      <c r="P7" s="322">
        <v>510</v>
      </c>
      <c r="Q7" s="322">
        <v>519</v>
      </c>
      <c r="R7" s="322">
        <v>466</v>
      </c>
      <c r="S7" s="322">
        <v>514</v>
      </c>
      <c r="T7" s="322">
        <v>541</v>
      </c>
      <c r="U7" s="322">
        <v>541</v>
      </c>
      <c r="V7" s="322">
        <v>521</v>
      </c>
      <c r="W7" s="322">
        <v>605</v>
      </c>
      <c r="X7" s="322">
        <v>621</v>
      </c>
      <c r="Y7" s="322">
        <v>676</v>
      </c>
      <c r="Z7" s="322">
        <v>399</v>
      </c>
      <c r="AA7" s="322" t="s">
        <v>0</v>
      </c>
      <c r="AB7" s="322" t="s">
        <v>0</v>
      </c>
      <c r="AC7" s="322" t="s">
        <v>0</v>
      </c>
      <c r="AD7" s="322" t="s">
        <v>0</v>
      </c>
      <c r="AE7" s="322" t="s">
        <v>0</v>
      </c>
      <c r="AF7" s="322" t="s">
        <v>0</v>
      </c>
      <c r="AG7" s="322" t="s">
        <v>0</v>
      </c>
      <c r="AH7" s="322" t="s">
        <v>0</v>
      </c>
      <c r="AI7" s="322" t="s">
        <v>0</v>
      </c>
      <c r="AJ7" s="322" t="s">
        <v>0</v>
      </c>
      <c r="AK7" s="322" t="s">
        <v>0</v>
      </c>
      <c r="AL7" s="322" t="s">
        <v>0</v>
      </c>
      <c r="AM7" s="322" t="s">
        <v>0</v>
      </c>
      <c r="AN7" s="322" t="s">
        <v>0</v>
      </c>
      <c r="AO7" s="322" t="s">
        <v>0</v>
      </c>
      <c r="AP7" s="322" t="s">
        <v>0</v>
      </c>
      <c r="AQ7" s="322" t="s">
        <v>0</v>
      </c>
      <c r="AR7" s="322" t="s">
        <v>0</v>
      </c>
      <c r="AS7" s="322" t="s">
        <v>0</v>
      </c>
      <c r="AT7" s="322" t="s">
        <v>0</v>
      </c>
      <c r="AU7" s="322" t="s">
        <v>0</v>
      </c>
      <c r="AV7" s="322" t="s">
        <v>0</v>
      </c>
      <c r="AW7" s="322" t="s">
        <v>0</v>
      </c>
      <c r="AX7" s="322" t="s">
        <v>0</v>
      </c>
      <c r="AY7" s="322" t="s">
        <v>0</v>
      </c>
      <c r="AZ7" s="322" t="s">
        <v>0</v>
      </c>
      <c r="BA7" s="322" t="s">
        <v>0</v>
      </c>
    </row>
    <row r="8" spans="1:53" s="5" customFormat="1" x14ac:dyDescent="0.25">
      <c r="A8" s="307" t="s">
        <v>50</v>
      </c>
      <c r="B8" s="323">
        <v>212064</v>
      </c>
      <c r="C8" s="323">
        <v>239081</v>
      </c>
      <c r="D8" s="323">
        <v>209551</v>
      </c>
      <c r="E8" s="323">
        <v>137949</v>
      </c>
      <c r="F8" s="323">
        <v>180637</v>
      </c>
      <c r="G8" s="323">
        <v>225910</v>
      </c>
      <c r="H8" s="323">
        <v>182989</v>
      </c>
      <c r="I8" s="323">
        <f>'[1]OPER_FIN 3P TRI'!B261</f>
        <v>151498</v>
      </c>
      <c r="J8" s="323">
        <v>243090</v>
      </c>
      <c r="K8" s="323">
        <v>187533</v>
      </c>
      <c r="L8" s="323">
        <v>133647</v>
      </c>
      <c r="M8" s="323">
        <v>84138</v>
      </c>
      <c r="N8" s="323">
        <v>85154</v>
      </c>
      <c r="O8" s="323">
        <v>71331</v>
      </c>
      <c r="P8" s="323">
        <v>59816</v>
      </c>
      <c r="Q8" s="323">
        <v>57565</v>
      </c>
      <c r="R8" s="323">
        <v>93914</v>
      </c>
      <c r="S8" s="323">
        <v>115847</v>
      </c>
      <c r="T8" s="323">
        <v>106607</v>
      </c>
      <c r="U8" s="323">
        <v>91711</v>
      </c>
      <c r="V8" s="323">
        <v>136071</v>
      </c>
      <c r="W8" s="323">
        <v>133467</v>
      </c>
      <c r="X8" s="323">
        <v>130600</v>
      </c>
      <c r="Y8" s="323">
        <v>96753</v>
      </c>
      <c r="Z8" s="323">
        <v>112147</v>
      </c>
      <c r="AA8" s="323">
        <v>73024</v>
      </c>
      <c r="AB8" s="323">
        <v>55417</v>
      </c>
      <c r="AC8" s="323">
        <v>62075</v>
      </c>
      <c r="AD8" s="323">
        <v>48858</v>
      </c>
      <c r="AE8" s="323">
        <v>65941</v>
      </c>
      <c r="AF8" s="323">
        <v>73135</v>
      </c>
      <c r="AG8" s="323">
        <v>176733</v>
      </c>
      <c r="AH8" s="323">
        <v>134372</v>
      </c>
      <c r="AI8" s="323">
        <v>193582</v>
      </c>
      <c r="AJ8" s="323">
        <v>174217</v>
      </c>
      <c r="AK8" s="323">
        <v>164361</v>
      </c>
      <c r="AL8" s="323">
        <v>241644</v>
      </c>
      <c r="AM8" s="323">
        <v>377197</v>
      </c>
      <c r="AN8" s="323">
        <v>200305</v>
      </c>
      <c r="AO8" s="323">
        <v>159156</v>
      </c>
      <c r="AP8" s="323">
        <v>193638</v>
      </c>
      <c r="AQ8" s="323">
        <v>199464</v>
      </c>
      <c r="AR8" s="323">
        <v>187467</v>
      </c>
      <c r="AS8" s="323">
        <v>126513</v>
      </c>
      <c r="AT8" s="323">
        <v>244595</v>
      </c>
      <c r="AU8" s="323">
        <v>158756.79999999999</v>
      </c>
      <c r="AV8" s="323">
        <v>174089</v>
      </c>
      <c r="AW8" s="323">
        <v>154135</v>
      </c>
      <c r="AX8" s="323">
        <v>193830</v>
      </c>
      <c r="AY8" s="323">
        <v>162501</v>
      </c>
      <c r="AZ8" s="323">
        <v>167036</v>
      </c>
      <c r="BA8" s="323">
        <v>177889</v>
      </c>
    </row>
    <row r="9" spans="1:53" s="5" customFormat="1" x14ac:dyDescent="0.25">
      <c r="A9" s="30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99" customFormat="1" x14ac:dyDescent="0.25">
      <c r="A10" s="18" t="s">
        <v>23</v>
      </c>
      <c r="B10" s="316">
        <f>SUM(B5:B9)</f>
        <v>1971127</v>
      </c>
      <c r="C10" s="316">
        <f>SUM(C5:C9)</f>
        <v>1859117</v>
      </c>
      <c r="D10" s="316">
        <f t="shared" ref="D10:BA10" si="0">SUM(D5:D9)</f>
        <v>1782985</v>
      </c>
      <c r="E10" s="316">
        <f t="shared" si="0"/>
        <v>1712486</v>
      </c>
      <c r="F10" s="316">
        <f t="shared" si="0"/>
        <v>1569396</v>
      </c>
      <c r="G10" s="316">
        <f t="shared" si="0"/>
        <v>1602113</v>
      </c>
      <c r="H10" s="316">
        <f t="shared" si="0"/>
        <v>1520663</v>
      </c>
      <c r="I10" s="316">
        <f t="shared" si="0"/>
        <v>1420351</v>
      </c>
      <c r="J10" s="316">
        <f t="shared" si="0"/>
        <v>1532127</v>
      </c>
      <c r="K10" s="316">
        <f t="shared" si="0"/>
        <v>1494734</v>
      </c>
      <c r="L10" s="316">
        <f t="shared" si="0"/>
        <v>1437007</v>
      </c>
      <c r="M10" s="316">
        <f t="shared" si="0"/>
        <v>1366326</v>
      </c>
      <c r="N10" s="316">
        <f t="shared" si="0"/>
        <v>1429839</v>
      </c>
      <c r="O10" s="316">
        <f t="shared" si="0"/>
        <v>1346163</v>
      </c>
      <c r="P10" s="316">
        <f t="shared" si="0"/>
        <v>1245638</v>
      </c>
      <c r="Q10" s="316">
        <f t="shared" si="0"/>
        <v>1267303</v>
      </c>
      <c r="R10" s="316">
        <f t="shared" si="0"/>
        <v>1385939</v>
      </c>
      <c r="S10" s="316">
        <f t="shared" si="0"/>
        <v>1317636</v>
      </c>
      <c r="T10" s="316">
        <f t="shared" si="0"/>
        <v>1192925</v>
      </c>
      <c r="U10" s="316">
        <f t="shared" si="0"/>
        <v>1196862</v>
      </c>
      <c r="V10" s="316">
        <f t="shared" si="0"/>
        <v>1226981</v>
      </c>
      <c r="W10" s="316">
        <f t="shared" si="0"/>
        <v>1167755</v>
      </c>
      <c r="X10" s="316">
        <f t="shared" si="0"/>
        <v>1149966</v>
      </c>
      <c r="Y10" s="316">
        <f t="shared" si="0"/>
        <v>1124301</v>
      </c>
      <c r="Z10" s="316">
        <f t="shared" si="0"/>
        <v>1167756</v>
      </c>
      <c r="AA10" s="316">
        <f t="shared" si="0"/>
        <v>1103132</v>
      </c>
      <c r="AB10" s="316">
        <f t="shared" si="0"/>
        <v>989048</v>
      </c>
      <c r="AC10" s="316">
        <f t="shared" si="0"/>
        <v>1040733</v>
      </c>
      <c r="AD10" s="316">
        <f t="shared" si="0"/>
        <v>997362</v>
      </c>
      <c r="AE10" s="316">
        <f t="shared" si="0"/>
        <v>1038167</v>
      </c>
      <c r="AF10" s="316">
        <f t="shared" si="0"/>
        <v>965212</v>
      </c>
      <c r="AG10" s="316">
        <f t="shared" si="0"/>
        <v>1007544</v>
      </c>
      <c r="AH10" s="316">
        <f t="shared" si="0"/>
        <v>998335</v>
      </c>
      <c r="AI10" s="316">
        <f t="shared" si="0"/>
        <v>993565</v>
      </c>
      <c r="AJ10" s="316">
        <f t="shared" si="0"/>
        <v>919325</v>
      </c>
      <c r="AK10" s="316">
        <f t="shared" si="0"/>
        <v>899488</v>
      </c>
      <c r="AL10" s="316">
        <f t="shared" si="0"/>
        <v>1025340</v>
      </c>
      <c r="AM10" s="316">
        <f t="shared" si="0"/>
        <v>1167806</v>
      </c>
      <c r="AN10" s="316">
        <f t="shared" si="0"/>
        <v>968895</v>
      </c>
      <c r="AO10" s="316">
        <f t="shared" si="0"/>
        <v>948415</v>
      </c>
      <c r="AP10" s="316">
        <f t="shared" si="0"/>
        <v>974020</v>
      </c>
      <c r="AQ10" s="316">
        <f t="shared" si="0"/>
        <v>970027</v>
      </c>
      <c r="AR10" s="316">
        <f t="shared" si="0"/>
        <v>913323</v>
      </c>
      <c r="AS10" s="316">
        <f t="shared" si="0"/>
        <v>857449</v>
      </c>
      <c r="AT10" s="316">
        <f t="shared" si="0"/>
        <v>988116</v>
      </c>
      <c r="AU10" s="316">
        <f t="shared" si="0"/>
        <v>869473.3</v>
      </c>
      <c r="AV10" s="316">
        <f t="shared" si="0"/>
        <v>828870</v>
      </c>
      <c r="AW10" s="316">
        <f t="shared" si="0"/>
        <v>813481</v>
      </c>
      <c r="AX10" s="316">
        <f t="shared" si="0"/>
        <v>831755</v>
      </c>
      <c r="AY10" s="316">
        <f t="shared" si="0"/>
        <v>824253</v>
      </c>
      <c r="AZ10" s="316">
        <f t="shared" si="0"/>
        <v>778719</v>
      </c>
      <c r="BA10" s="316">
        <f t="shared" si="0"/>
        <v>776139</v>
      </c>
    </row>
    <row r="11" spans="1:53" s="99" customFormat="1" x14ac:dyDescent="0.25">
      <c r="A11" s="309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5"/>
      <c r="W11" s="324"/>
      <c r="X11" s="325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</row>
    <row r="12" spans="1:53" s="5" customFormat="1" x14ac:dyDescent="0.25">
      <c r="A12" s="306" t="s">
        <v>54</v>
      </c>
      <c r="B12" s="322">
        <v>-908034</v>
      </c>
      <c r="C12" s="322">
        <v>-853062</v>
      </c>
      <c r="D12" s="322">
        <v>-912579</v>
      </c>
      <c r="E12" s="322">
        <v>-793501</v>
      </c>
      <c r="F12" s="322">
        <v>-780381</v>
      </c>
      <c r="G12" s="322">
        <v>-762508</v>
      </c>
      <c r="H12" s="322">
        <v>-758574</v>
      </c>
      <c r="I12" s="322">
        <f>'[1]OPER_FIN 3P TRI'!B265</f>
        <v>-748995</v>
      </c>
      <c r="J12" s="322">
        <v>-829325</v>
      </c>
      <c r="K12" s="322">
        <v>-823570</v>
      </c>
      <c r="L12" s="322">
        <v>-703272</v>
      </c>
      <c r="M12" s="322">
        <v>-672803</v>
      </c>
      <c r="N12" s="322">
        <v>-679936</v>
      </c>
      <c r="O12" s="322">
        <v>-651402</v>
      </c>
      <c r="P12" s="322">
        <v>-640782</v>
      </c>
      <c r="Q12" s="322">
        <v>-634921</v>
      </c>
      <c r="R12" s="322">
        <v>-655140</v>
      </c>
      <c r="S12" s="322">
        <v>-633608</v>
      </c>
      <c r="T12" s="322">
        <v>-608084</v>
      </c>
      <c r="U12" s="322">
        <v>-589491</v>
      </c>
      <c r="V12" s="322">
        <v>-597723</v>
      </c>
      <c r="W12" s="322">
        <v>-610552</v>
      </c>
      <c r="X12" s="322">
        <v>-567427</v>
      </c>
      <c r="Y12" s="322">
        <v>-540480</v>
      </c>
      <c r="Z12" s="322">
        <v>-578632</v>
      </c>
      <c r="AA12" s="322">
        <v>-599631</v>
      </c>
      <c r="AB12" s="322">
        <v>-468743</v>
      </c>
      <c r="AC12" s="322">
        <v>-512330</v>
      </c>
      <c r="AD12" s="322">
        <v>-529242</v>
      </c>
      <c r="AE12" s="322">
        <v>-513402</v>
      </c>
      <c r="AF12" s="322">
        <v>-575081</v>
      </c>
      <c r="AG12" s="322">
        <v>-478566</v>
      </c>
      <c r="AH12" s="322">
        <v>-571464</v>
      </c>
      <c r="AI12" s="322">
        <v>-491800</v>
      </c>
      <c r="AJ12" s="322">
        <v>-491389</v>
      </c>
      <c r="AK12" s="322">
        <v>-456923</v>
      </c>
      <c r="AL12" s="322">
        <v>-459325</v>
      </c>
      <c r="AM12" s="322">
        <v>-433250</v>
      </c>
      <c r="AN12" s="322">
        <v>-429549</v>
      </c>
      <c r="AO12" s="322">
        <v>-419930</v>
      </c>
      <c r="AP12" s="322">
        <v>-427608</v>
      </c>
      <c r="AQ12" s="322">
        <v>-430364</v>
      </c>
      <c r="AR12" s="322">
        <v>-395263</v>
      </c>
      <c r="AS12" s="322">
        <v>-379148</v>
      </c>
      <c r="AT12" s="322">
        <v>-402229</v>
      </c>
      <c r="AU12" s="322">
        <v>-352081</v>
      </c>
      <c r="AV12" s="322">
        <v>-348708</v>
      </c>
      <c r="AW12" s="322">
        <v>-321646</v>
      </c>
      <c r="AX12" s="322">
        <v>-324833</v>
      </c>
      <c r="AY12" s="322">
        <v>-317795</v>
      </c>
      <c r="AZ12" s="322">
        <v>-294584</v>
      </c>
      <c r="BA12" s="322">
        <v>-279250</v>
      </c>
    </row>
    <row r="13" spans="1:53" s="5" customFormat="1" x14ac:dyDescent="0.25">
      <c r="A13" s="307" t="s">
        <v>36</v>
      </c>
      <c r="B13" s="323">
        <v>-212064</v>
      </c>
      <c r="C13" s="323">
        <v>-239081</v>
      </c>
      <c r="D13" s="323">
        <v>-209551</v>
      </c>
      <c r="E13" s="323">
        <v>-137949</v>
      </c>
      <c r="F13" s="323">
        <v>-180637</v>
      </c>
      <c r="G13" s="323">
        <v>-225910</v>
      </c>
      <c r="H13" s="323">
        <v>-182989</v>
      </c>
      <c r="I13" s="323">
        <f>'[1]OPER_FIN 3P TRI'!B266</f>
        <v>-151498</v>
      </c>
      <c r="J13" s="323">
        <v>-243090</v>
      </c>
      <c r="K13" s="323">
        <v>-187533</v>
      </c>
      <c r="L13" s="323">
        <v>-133647</v>
      </c>
      <c r="M13" s="323">
        <v>-84138</v>
      </c>
      <c r="N13" s="323">
        <v>-85154</v>
      </c>
      <c r="O13" s="323">
        <v>-71331</v>
      </c>
      <c r="P13" s="323">
        <v>-59816</v>
      </c>
      <c r="Q13" s="323">
        <v>-57565</v>
      </c>
      <c r="R13" s="323">
        <v>-93914</v>
      </c>
      <c r="S13" s="323">
        <v>-115847</v>
      </c>
      <c r="T13" s="323">
        <v>-106607</v>
      </c>
      <c r="U13" s="323">
        <v>-91711</v>
      </c>
      <c r="V13" s="323">
        <v>-136071</v>
      </c>
      <c r="W13" s="323">
        <v>-133467</v>
      </c>
      <c r="X13" s="323">
        <v>-130600</v>
      </c>
      <c r="Y13" s="323">
        <v>-96753</v>
      </c>
      <c r="Z13" s="323">
        <v>-112147</v>
      </c>
      <c r="AA13" s="323">
        <v>-73024</v>
      </c>
      <c r="AB13" s="323">
        <v>-55417</v>
      </c>
      <c r="AC13" s="323">
        <v>-62075</v>
      </c>
      <c r="AD13" s="323">
        <v>-48858</v>
      </c>
      <c r="AE13" s="323">
        <v>-65941</v>
      </c>
      <c r="AF13" s="323">
        <v>-73136</v>
      </c>
      <c r="AG13" s="323">
        <v>-176733</v>
      </c>
      <c r="AH13" s="323">
        <v>-134372</v>
      </c>
      <c r="AI13" s="323">
        <v>-193582</v>
      </c>
      <c r="AJ13" s="323">
        <v>-171985</v>
      </c>
      <c r="AK13" s="323">
        <v>-161865</v>
      </c>
      <c r="AL13" s="323">
        <v>-237981</v>
      </c>
      <c r="AM13" s="323">
        <v>-373220</v>
      </c>
      <c r="AN13" s="323">
        <v>-196121</v>
      </c>
      <c r="AO13" s="323">
        <v>-154384</v>
      </c>
      <c r="AP13" s="323">
        <v>-189627</v>
      </c>
      <c r="AQ13" s="323">
        <v>-195047</v>
      </c>
      <c r="AR13" s="323">
        <v>-183281</v>
      </c>
      <c r="AS13" s="323">
        <v>-122618</v>
      </c>
      <c r="AT13" s="323">
        <v>-237283</v>
      </c>
      <c r="AU13" s="323">
        <v>-155219</v>
      </c>
      <c r="AV13" s="323">
        <v>-171187</v>
      </c>
      <c r="AW13" s="323">
        <v>-152807</v>
      </c>
      <c r="AX13" s="323">
        <v>-189972</v>
      </c>
      <c r="AY13" s="323">
        <v>-159182</v>
      </c>
      <c r="AZ13" s="323">
        <v>-163227</v>
      </c>
      <c r="BA13" s="323">
        <v>-174920</v>
      </c>
    </row>
    <row r="14" spans="1:53" s="8" customFormat="1" x14ac:dyDescent="0.25">
      <c r="A14" s="310" t="s">
        <v>37</v>
      </c>
      <c r="B14" s="327">
        <f>SUM(B12:B13)</f>
        <v>-1120098</v>
      </c>
      <c r="C14" s="327">
        <f>SUM(C12:C13)</f>
        <v>-1092143</v>
      </c>
      <c r="D14" s="327">
        <f t="shared" ref="D14:BA14" si="1">SUM(D12:D13)</f>
        <v>-1122130</v>
      </c>
      <c r="E14" s="327">
        <f t="shared" si="1"/>
        <v>-931450</v>
      </c>
      <c r="F14" s="327">
        <f t="shared" si="1"/>
        <v>-961018</v>
      </c>
      <c r="G14" s="327">
        <f t="shared" si="1"/>
        <v>-988418</v>
      </c>
      <c r="H14" s="327">
        <f t="shared" si="1"/>
        <v>-941563</v>
      </c>
      <c r="I14" s="327">
        <f t="shared" si="1"/>
        <v>-900493</v>
      </c>
      <c r="J14" s="327">
        <f t="shared" si="1"/>
        <v>-1072415</v>
      </c>
      <c r="K14" s="327">
        <f t="shared" si="1"/>
        <v>-1011103</v>
      </c>
      <c r="L14" s="327">
        <f t="shared" si="1"/>
        <v>-836919</v>
      </c>
      <c r="M14" s="327">
        <f t="shared" si="1"/>
        <v>-756941</v>
      </c>
      <c r="N14" s="327">
        <f t="shared" si="1"/>
        <v>-765090</v>
      </c>
      <c r="O14" s="327">
        <f t="shared" si="1"/>
        <v>-722733</v>
      </c>
      <c r="P14" s="327">
        <f t="shared" si="1"/>
        <v>-700598</v>
      </c>
      <c r="Q14" s="327">
        <f t="shared" si="1"/>
        <v>-692486</v>
      </c>
      <c r="R14" s="327">
        <f t="shared" si="1"/>
        <v>-749054</v>
      </c>
      <c r="S14" s="327">
        <f t="shared" si="1"/>
        <v>-749455</v>
      </c>
      <c r="T14" s="327">
        <f t="shared" si="1"/>
        <v>-714691</v>
      </c>
      <c r="U14" s="327">
        <f t="shared" si="1"/>
        <v>-681202</v>
      </c>
      <c r="V14" s="327">
        <f t="shared" si="1"/>
        <v>-733794</v>
      </c>
      <c r="W14" s="327">
        <f t="shared" si="1"/>
        <v>-744019</v>
      </c>
      <c r="X14" s="327">
        <f t="shared" si="1"/>
        <v>-698027</v>
      </c>
      <c r="Y14" s="327">
        <f t="shared" si="1"/>
        <v>-637233</v>
      </c>
      <c r="Z14" s="327">
        <f t="shared" si="1"/>
        <v>-690779</v>
      </c>
      <c r="AA14" s="327">
        <f t="shared" si="1"/>
        <v>-672655</v>
      </c>
      <c r="AB14" s="327">
        <f t="shared" si="1"/>
        <v>-524160</v>
      </c>
      <c r="AC14" s="327">
        <f t="shared" si="1"/>
        <v>-574405</v>
      </c>
      <c r="AD14" s="327">
        <f t="shared" si="1"/>
        <v>-578100</v>
      </c>
      <c r="AE14" s="327">
        <f t="shared" si="1"/>
        <v>-579343</v>
      </c>
      <c r="AF14" s="327">
        <f t="shared" si="1"/>
        <v>-648217</v>
      </c>
      <c r="AG14" s="327">
        <f t="shared" si="1"/>
        <v>-655299</v>
      </c>
      <c r="AH14" s="327">
        <f t="shared" si="1"/>
        <v>-705836</v>
      </c>
      <c r="AI14" s="327">
        <f t="shared" si="1"/>
        <v>-685382</v>
      </c>
      <c r="AJ14" s="327">
        <f t="shared" si="1"/>
        <v>-663374</v>
      </c>
      <c r="AK14" s="327">
        <f t="shared" si="1"/>
        <v>-618788</v>
      </c>
      <c r="AL14" s="327">
        <f t="shared" si="1"/>
        <v>-697306</v>
      </c>
      <c r="AM14" s="327">
        <f t="shared" si="1"/>
        <v>-806470</v>
      </c>
      <c r="AN14" s="327">
        <f t="shared" si="1"/>
        <v>-625670</v>
      </c>
      <c r="AO14" s="327">
        <f t="shared" si="1"/>
        <v>-574314</v>
      </c>
      <c r="AP14" s="327">
        <f t="shared" si="1"/>
        <v>-617235</v>
      </c>
      <c r="AQ14" s="327">
        <f t="shared" si="1"/>
        <v>-625411</v>
      </c>
      <c r="AR14" s="327">
        <f t="shared" si="1"/>
        <v>-578544</v>
      </c>
      <c r="AS14" s="327">
        <f t="shared" si="1"/>
        <v>-501766</v>
      </c>
      <c r="AT14" s="327">
        <f t="shared" si="1"/>
        <v>-639512</v>
      </c>
      <c r="AU14" s="327">
        <f t="shared" si="1"/>
        <v>-507300</v>
      </c>
      <c r="AV14" s="327">
        <f t="shared" si="1"/>
        <v>-519895</v>
      </c>
      <c r="AW14" s="327">
        <f t="shared" si="1"/>
        <v>-474453</v>
      </c>
      <c r="AX14" s="327">
        <f t="shared" si="1"/>
        <v>-514805</v>
      </c>
      <c r="AY14" s="327">
        <f t="shared" si="1"/>
        <v>-476977</v>
      </c>
      <c r="AZ14" s="327">
        <f t="shared" si="1"/>
        <v>-457811</v>
      </c>
      <c r="BA14" s="327">
        <f t="shared" si="1"/>
        <v>-454170</v>
      </c>
    </row>
    <row r="15" spans="1:53" s="5" customFormat="1" x14ac:dyDescent="0.25">
      <c r="A15" s="19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</row>
    <row r="16" spans="1:53" s="99" customFormat="1" x14ac:dyDescent="0.25">
      <c r="A16" s="18" t="s">
        <v>440</v>
      </c>
      <c r="B16" s="316">
        <f>B10+B14</f>
        <v>851029</v>
      </c>
      <c r="C16" s="316">
        <f>C10+C14</f>
        <v>766974</v>
      </c>
      <c r="D16" s="316">
        <f t="shared" ref="D16:BA16" si="2">D10+D14</f>
        <v>660855</v>
      </c>
      <c r="E16" s="316">
        <f t="shared" si="2"/>
        <v>781036</v>
      </c>
      <c r="F16" s="316">
        <f t="shared" si="2"/>
        <v>608378</v>
      </c>
      <c r="G16" s="316">
        <f t="shared" si="2"/>
        <v>613695</v>
      </c>
      <c r="H16" s="316">
        <f t="shared" si="2"/>
        <v>579100</v>
      </c>
      <c r="I16" s="316">
        <f t="shared" si="2"/>
        <v>519858</v>
      </c>
      <c r="J16" s="316">
        <f t="shared" si="2"/>
        <v>459712</v>
      </c>
      <c r="K16" s="316">
        <f t="shared" si="2"/>
        <v>483631</v>
      </c>
      <c r="L16" s="316">
        <f t="shared" si="2"/>
        <v>600088</v>
      </c>
      <c r="M16" s="316">
        <f t="shared" si="2"/>
        <v>609385</v>
      </c>
      <c r="N16" s="316">
        <f t="shared" si="2"/>
        <v>664749</v>
      </c>
      <c r="O16" s="316">
        <f t="shared" si="2"/>
        <v>623430</v>
      </c>
      <c r="P16" s="316">
        <f t="shared" si="2"/>
        <v>545040</v>
      </c>
      <c r="Q16" s="316">
        <f t="shared" si="2"/>
        <v>574817</v>
      </c>
      <c r="R16" s="316">
        <f t="shared" si="2"/>
        <v>636885</v>
      </c>
      <c r="S16" s="316">
        <f t="shared" si="2"/>
        <v>568181</v>
      </c>
      <c r="T16" s="316">
        <f t="shared" si="2"/>
        <v>478234</v>
      </c>
      <c r="U16" s="316">
        <f t="shared" si="2"/>
        <v>515660</v>
      </c>
      <c r="V16" s="316">
        <f t="shared" si="2"/>
        <v>493187</v>
      </c>
      <c r="W16" s="316">
        <f t="shared" si="2"/>
        <v>423736</v>
      </c>
      <c r="X16" s="316">
        <f t="shared" si="2"/>
        <v>451939</v>
      </c>
      <c r="Y16" s="316">
        <f t="shared" si="2"/>
        <v>487068</v>
      </c>
      <c r="Z16" s="316">
        <f t="shared" si="2"/>
        <v>476977</v>
      </c>
      <c r="AA16" s="316">
        <f t="shared" si="2"/>
        <v>430477</v>
      </c>
      <c r="AB16" s="316">
        <f t="shared" si="2"/>
        <v>464888</v>
      </c>
      <c r="AC16" s="316">
        <f t="shared" si="2"/>
        <v>466328</v>
      </c>
      <c r="AD16" s="316">
        <f t="shared" si="2"/>
        <v>419262</v>
      </c>
      <c r="AE16" s="316">
        <f t="shared" si="2"/>
        <v>458824</v>
      </c>
      <c r="AF16" s="316">
        <f t="shared" si="2"/>
        <v>316995</v>
      </c>
      <c r="AG16" s="316">
        <f t="shared" si="2"/>
        <v>352245</v>
      </c>
      <c r="AH16" s="316">
        <f t="shared" si="2"/>
        <v>292499</v>
      </c>
      <c r="AI16" s="316">
        <f t="shared" si="2"/>
        <v>308183</v>
      </c>
      <c r="AJ16" s="316">
        <f t="shared" si="2"/>
        <v>255951</v>
      </c>
      <c r="AK16" s="316">
        <f t="shared" si="2"/>
        <v>280700</v>
      </c>
      <c r="AL16" s="316">
        <f t="shared" si="2"/>
        <v>328034</v>
      </c>
      <c r="AM16" s="316">
        <f t="shared" si="2"/>
        <v>361336</v>
      </c>
      <c r="AN16" s="316">
        <f t="shared" si="2"/>
        <v>343225</v>
      </c>
      <c r="AO16" s="316">
        <f t="shared" si="2"/>
        <v>374101</v>
      </c>
      <c r="AP16" s="316">
        <f t="shared" si="2"/>
        <v>356785</v>
      </c>
      <c r="AQ16" s="316">
        <f t="shared" si="2"/>
        <v>344616</v>
      </c>
      <c r="AR16" s="316">
        <f t="shared" si="2"/>
        <v>334779</v>
      </c>
      <c r="AS16" s="316">
        <f t="shared" si="2"/>
        <v>355683</v>
      </c>
      <c r="AT16" s="316">
        <f t="shared" si="2"/>
        <v>348604</v>
      </c>
      <c r="AU16" s="316">
        <f t="shared" si="2"/>
        <v>362173.30000000005</v>
      </c>
      <c r="AV16" s="316">
        <f t="shared" si="2"/>
        <v>308975</v>
      </c>
      <c r="AW16" s="316">
        <f t="shared" si="2"/>
        <v>339028</v>
      </c>
      <c r="AX16" s="316">
        <f t="shared" si="2"/>
        <v>316950</v>
      </c>
      <c r="AY16" s="316">
        <f t="shared" si="2"/>
        <v>347276</v>
      </c>
      <c r="AZ16" s="316">
        <f t="shared" si="2"/>
        <v>320908</v>
      </c>
      <c r="BA16" s="316">
        <f t="shared" si="2"/>
        <v>321969</v>
      </c>
    </row>
    <row r="17" spans="1:53" s="99" customFormat="1" x14ac:dyDescent="0.25">
      <c r="A17" s="3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6"/>
      <c r="X17" s="17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</row>
    <row r="18" spans="1:53" s="5" customFormat="1" x14ac:dyDescent="0.25">
      <c r="A18" s="307" t="s">
        <v>445</v>
      </c>
      <c r="B18" s="323">
        <v>-69776</v>
      </c>
      <c r="C18" s="323">
        <v>-72772</v>
      </c>
      <c r="D18" s="323">
        <v>-84511</v>
      </c>
      <c r="E18" s="323">
        <v>-69094.8</v>
      </c>
      <c r="F18" s="323">
        <v>-63648</v>
      </c>
      <c r="G18" s="323">
        <v>-59539</v>
      </c>
      <c r="H18" s="323">
        <v>-57668</v>
      </c>
      <c r="I18" s="323">
        <v>-79896</v>
      </c>
      <c r="J18" s="323">
        <v>-52934</v>
      </c>
      <c r="K18" s="323">
        <v>-65871</v>
      </c>
      <c r="L18" s="323">
        <v>-55068</v>
      </c>
      <c r="M18" s="323">
        <v>-54340</v>
      </c>
      <c r="N18" s="323">
        <v>-56040</v>
      </c>
      <c r="O18" s="323">
        <v>-56493</v>
      </c>
      <c r="P18" s="323">
        <v>-56221</v>
      </c>
      <c r="Q18" s="323">
        <v>-54176</v>
      </c>
      <c r="R18" s="323">
        <v>-51434</v>
      </c>
      <c r="S18" s="323">
        <v>-49543</v>
      </c>
      <c r="T18" s="323">
        <v>-49380</v>
      </c>
      <c r="U18" s="323">
        <v>-48864</v>
      </c>
      <c r="V18" s="323">
        <v>-50568</v>
      </c>
      <c r="W18" s="323">
        <v>-59598</v>
      </c>
      <c r="X18" s="323">
        <v>-46230</v>
      </c>
      <c r="Y18" s="323">
        <v>-45692</v>
      </c>
      <c r="Z18" s="323">
        <v>-46780</v>
      </c>
      <c r="AA18" s="323">
        <v>-49977</v>
      </c>
      <c r="AB18" s="323">
        <v>-46380</v>
      </c>
      <c r="AC18" s="323">
        <v>-45123</v>
      </c>
      <c r="AD18" s="323">
        <v>-45889</v>
      </c>
      <c r="AE18" s="323">
        <v>-45236</v>
      </c>
      <c r="AF18" s="323">
        <v>-45430</v>
      </c>
      <c r="AG18" s="323">
        <v>-49777</v>
      </c>
      <c r="AH18" s="323">
        <v>-46718</v>
      </c>
      <c r="AI18" s="323">
        <v>-47444</v>
      </c>
      <c r="AJ18" s="323">
        <v>-45612</v>
      </c>
      <c r="AK18" s="323">
        <v>-45247</v>
      </c>
      <c r="AL18" s="323">
        <v>-44338</v>
      </c>
      <c r="AM18" s="323">
        <v>-43462</v>
      </c>
      <c r="AN18" s="323">
        <v>-42689</v>
      </c>
      <c r="AO18" s="323">
        <v>-40461</v>
      </c>
      <c r="AP18" s="323">
        <v>-41460</v>
      </c>
      <c r="AQ18" s="323">
        <v>-41541</v>
      </c>
      <c r="AR18" s="323">
        <v>-37320</v>
      </c>
      <c r="AS18" s="323">
        <v>-36574</v>
      </c>
      <c r="AT18" s="323">
        <v>-37430</v>
      </c>
      <c r="AU18" s="323">
        <v>-37130.5</v>
      </c>
      <c r="AV18" s="323">
        <v>-37164</v>
      </c>
      <c r="AW18" s="323">
        <v>-33116</v>
      </c>
      <c r="AX18" s="323">
        <v>-35067</v>
      </c>
      <c r="AY18" s="323">
        <v>-34619</v>
      </c>
      <c r="AZ18" s="323">
        <v>-31821</v>
      </c>
      <c r="BA18" s="323">
        <v>-29877</v>
      </c>
    </row>
    <row r="19" spans="1:53" s="5" customFormat="1" ht="30" x14ac:dyDescent="0.25">
      <c r="A19" s="307" t="s">
        <v>444</v>
      </c>
      <c r="B19" s="323">
        <v>-47309</v>
      </c>
      <c r="C19" s="323">
        <f>C65</f>
        <v>-33660</v>
      </c>
      <c r="D19" s="323">
        <f t="shared" ref="D19:BA19" si="3">D65</f>
        <v>-51220</v>
      </c>
      <c r="E19" s="323">
        <f t="shared" si="3"/>
        <v>-51469.2</v>
      </c>
      <c r="F19" s="323">
        <f t="shared" si="3"/>
        <v>-53980</v>
      </c>
      <c r="G19" s="323">
        <f t="shared" si="3"/>
        <v>-51113</v>
      </c>
      <c r="H19" s="323">
        <f t="shared" si="3"/>
        <v>-38286</v>
      </c>
      <c r="I19" s="323">
        <f t="shared" si="3"/>
        <v>-58556</v>
      </c>
      <c r="J19" s="323">
        <f t="shared" si="3"/>
        <v>-59866</v>
      </c>
      <c r="K19" s="323">
        <f t="shared" si="3"/>
        <v>-51866</v>
      </c>
      <c r="L19" s="323">
        <f t="shared" si="3"/>
        <v>-60656</v>
      </c>
      <c r="M19" s="323">
        <f t="shared" si="3"/>
        <v>-49028</v>
      </c>
      <c r="N19" s="323">
        <f t="shared" si="3"/>
        <v>-88781</v>
      </c>
      <c r="O19" s="323">
        <f t="shared" si="3"/>
        <v>-93414</v>
      </c>
      <c r="P19" s="323">
        <f t="shared" si="3"/>
        <v>-136093</v>
      </c>
      <c r="Q19" s="323">
        <f t="shared" si="3"/>
        <v>-51592</v>
      </c>
      <c r="R19" s="323">
        <f t="shared" si="3"/>
        <v>-44852</v>
      </c>
      <c r="S19" s="323">
        <f t="shared" si="3"/>
        <v>-47493</v>
      </c>
      <c r="T19" s="323">
        <f t="shared" si="3"/>
        <v>-47059</v>
      </c>
      <c r="U19" s="323">
        <f t="shared" si="3"/>
        <v>-50251</v>
      </c>
      <c r="V19" s="323">
        <f t="shared" si="3"/>
        <v>-53230</v>
      </c>
      <c r="W19" s="323">
        <f t="shared" si="3"/>
        <v>-79656</v>
      </c>
      <c r="X19" s="323">
        <f t="shared" si="3"/>
        <v>-62878</v>
      </c>
      <c r="Y19" s="323">
        <f t="shared" si="3"/>
        <v>-57004</v>
      </c>
      <c r="Z19" s="323">
        <f t="shared" si="3"/>
        <v>-50430</v>
      </c>
      <c r="AA19" s="323">
        <f t="shared" si="3"/>
        <v>-52509</v>
      </c>
      <c r="AB19" s="323">
        <f t="shared" si="3"/>
        <v>-47071</v>
      </c>
      <c r="AC19" s="323">
        <f t="shared" si="3"/>
        <v>-48660</v>
      </c>
      <c r="AD19" s="323">
        <f t="shared" si="3"/>
        <v>-40448</v>
      </c>
      <c r="AE19" s="323">
        <f t="shared" si="3"/>
        <v>-41393</v>
      </c>
      <c r="AF19" s="323">
        <f t="shared" si="3"/>
        <v>-43339</v>
      </c>
      <c r="AG19" s="323">
        <f t="shared" si="3"/>
        <v>-33098</v>
      </c>
      <c r="AH19" s="323">
        <f t="shared" si="3"/>
        <v>-36506</v>
      </c>
      <c r="AI19" s="323">
        <f t="shared" si="3"/>
        <v>-30443</v>
      </c>
      <c r="AJ19" s="323">
        <f t="shared" si="3"/>
        <v>-41479</v>
      </c>
      <c r="AK19" s="323">
        <f t="shared" si="3"/>
        <v>-22522</v>
      </c>
      <c r="AL19" s="323">
        <f t="shared" si="3"/>
        <v>-24362</v>
      </c>
      <c r="AM19" s="323">
        <f t="shared" si="3"/>
        <v>-22800</v>
      </c>
      <c r="AN19" s="323">
        <f t="shared" si="3"/>
        <v>-25237</v>
      </c>
      <c r="AO19" s="323">
        <f t="shared" si="3"/>
        <v>-19959</v>
      </c>
      <c r="AP19" s="323">
        <f t="shared" si="3"/>
        <v>-23557</v>
      </c>
      <c r="AQ19" s="323">
        <f t="shared" si="3"/>
        <v>-17581</v>
      </c>
      <c r="AR19" s="323">
        <f t="shared" si="3"/>
        <v>-17405</v>
      </c>
      <c r="AS19" s="323">
        <f t="shared" si="3"/>
        <v>-15130</v>
      </c>
      <c r="AT19" s="323">
        <f t="shared" si="3"/>
        <v>-13845</v>
      </c>
      <c r="AU19" s="323">
        <f t="shared" si="3"/>
        <v>-19588.7</v>
      </c>
      <c r="AV19" s="323">
        <f t="shared" si="3"/>
        <v>-11625</v>
      </c>
      <c r="AW19" s="323">
        <f t="shared" si="3"/>
        <v>-21961</v>
      </c>
      <c r="AX19" s="323">
        <f t="shared" si="3"/>
        <v>-12631</v>
      </c>
      <c r="AY19" s="323">
        <f t="shared" si="3"/>
        <v>-11166</v>
      </c>
      <c r="AZ19" s="323">
        <f t="shared" si="3"/>
        <v>-10206</v>
      </c>
      <c r="BA19" s="323">
        <f t="shared" si="3"/>
        <v>-9970</v>
      </c>
    </row>
    <row r="20" spans="1:53" s="99" customFormat="1" x14ac:dyDescent="0.25">
      <c r="A20" s="311" t="s">
        <v>9</v>
      </c>
      <c r="B20" s="322">
        <v>-155085</v>
      </c>
      <c r="C20" s="322">
        <v>-182041</v>
      </c>
      <c r="D20" s="322">
        <v>-169850</v>
      </c>
      <c r="E20" s="322">
        <v>-139968</v>
      </c>
      <c r="F20" s="322">
        <v>-160877</v>
      </c>
      <c r="G20" s="322">
        <v>-141069</v>
      </c>
      <c r="H20" s="322">
        <v>-147636</v>
      </c>
      <c r="I20" s="322">
        <v>-123792</v>
      </c>
      <c r="J20" s="322">
        <v>-160290</v>
      </c>
      <c r="K20" s="322">
        <f>'[2]OPER_FIN 3P TRI'!B262</f>
        <v>-195415</v>
      </c>
      <c r="L20" s="322">
        <v>-137687</v>
      </c>
      <c r="M20" s="322">
        <v>-128822</v>
      </c>
      <c r="N20" s="322">
        <v>-134107</v>
      </c>
      <c r="O20" s="322">
        <v>-121519</v>
      </c>
      <c r="P20" s="322">
        <v>-113215</v>
      </c>
      <c r="Q20" s="322">
        <v>-126631</v>
      </c>
      <c r="R20" s="322">
        <v>-130703</v>
      </c>
      <c r="S20" s="322">
        <v>-120737</v>
      </c>
      <c r="T20" s="322">
        <v>-119550</v>
      </c>
      <c r="U20" s="322">
        <v>-108990</v>
      </c>
      <c r="V20" s="171">
        <v>-121264</v>
      </c>
      <c r="W20" s="322">
        <v>-113881</v>
      </c>
      <c r="X20" s="171">
        <v>-130683</v>
      </c>
      <c r="Y20" s="171">
        <v>-118279</v>
      </c>
      <c r="Z20" s="171">
        <v>-131345</v>
      </c>
      <c r="AA20" s="171">
        <v>-55872</v>
      </c>
      <c r="AB20" s="171">
        <v>-177552</v>
      </c>
      <c r="AC20" s="171">
        <v>-106343</v>
      </c>
      <c r="AD20" s="171">
        <v>-111536</v>
      </c>
      <c r="AE20" s="171">
        <v>-107839</v>
      </c>
      <c r="AF20" s="171">
        <v>-30125</v>
      </c>
      <c r="AG20" s="171">
        <v>-97964</v>
      </c>
      <c r="AH20" s="171">
        <v>-198533</v>
      </c>
      <c r="AI20" s="171">
        <v>-96246</v>
      </c>
      <c r="AJ20" s="171">
        <v>-116625</v>
      </c>
      <c r="AK20" s="171">
        <v>-109629</v>
      </c>
      <c r="AL20" s="171">
        <v>-120958</v>
      </c>
      <c r="AM20" s="171">
        <v>-110720</v>
      </c>
      <c r="AN20" s="171">
        <v>-110781</v>
      </c>
      <c r="AO20" s="171">
        <v>-102831</v>
      </c>
      <c r="AP20" s="171">
        <v>-115175</v>
      </c>
      <c r="AQ20" s="171">
        <v>-106590</v>
      </c>
      <c r="AR20" s="171">
        <v>-111998</v>
      </c>
      <c r="AS20" s="171">
        <v>-89768</v>
      </c>
      <c r="AT20" s="171">
        <v>-89313</v>
      </c>
      <c r="AU20" s="171">
        <v>-102307.2</v>
      </c>
      <c r="AV20" s="171">
        <v>-86155</v>
      </c>
      <c r="AW20" s="171">
        <v>-91228</v>
      </c>
      <c r="AX20" s="171">
        <v>-102863</v>
      </c>
      <c r="AY20" s="171">
        <v>-97130</v>
      </c>
      <c r="AZ20" s="171">
        <v>-85197</v>
      </c>
      <c r="BA20" s="171">
        <v>-77290</v>
      </c>
    </row>
    <row r="21" spans="1:53" s="5" customFormat="1" x14ac:dyDescent="0.25">
      <c r="A21" s="307" t="s">
        <v>145</v>
      </c>
      <c r="B21" s="323">
        <v>11599</v>
      </c>
      <c r="C21" s="323">
        <v>23526</v>
      </c>
      <c r="D21" s="323">
        <v>15496</v>
      </c>
      <c r="E21" s="323">
        <v>16439</v>
      </c>
      <c r="F21" s="323">
        <v>33119</v>
      </c>
      <c r="G21" s="323">
        <v>32229</v>
      </c>
      <c r="H21" s="323">
        <v>33732</v>
      </c>
      <c r="I21" s="323">
        <v>35937</v>
      </c>
      <c r="J21" s="323">
        <v>87485</v>
      </c>
      <c r="K21" s="323">
        <f>'[2]OPER_FIN 3P TRI'!B263</f>
        <v>36753</v>
      </c>
      <c r="L21" s="323">
        <v>27674</v>
      </c>
      <c r="M21" s="323">
        <v>25468</v>
      </c>
      <c r="N21" s="323">
        <v>50989</v>
      </c>
      <c r="O21" s="323">
        <v>64667</v>
      </c>
      <c r="P21" s="323">
        <v>26408</v>
      </c>
      <c r="Q21" s="323">
        <v>29277</v>
      </c>
      <c r="R21" s="323">
        <v>27383</v>
      </c>
      <c r="S21" s="323">
        <v>23457</v>
      </c>
      <c r="T21" s="323">
        <v>19146</v>
      </c>
      <c r="U21" s="323">
        <v>37951</v>
      </c>
      <c r="V21" s="323">
        <v>38714</v>
      </c>
      <c r="W21" s="323">
        <v>84897</v>
      </c>
      <c r="X21" s="323">
        <v>32521</v>
      </c>
      <c r="Y21" s="323">
        <v>40003</v>
      </c>
      <c r="Z21" s="323">
        <v>50991</v>
      </c>
      <c r="AA21" s="323">
        <v>60714</v>
      </c>
      <c r="AB21" s="323">
        <v>49728</v>
      </c>
      <c r="AC21" s="323">
        <v>86363</v>
      </c>
      <c r="AD21" s="323">
        <v>87922</v>
      </c>
      <c r="AE21" s="323">
        <v>36022</v>
      </c>
      <c r="AF21" s="323">
        <v>29591</v>
      </c>
      <c r="AG21" s="323">
        <v>36748</v>
      </c>
      <c r="AH21" s="323">
        <v>80184</v>
      </c>
      <c r="AI21" s="323">
        <v>65231</v>
      </c>
      <c r="AJ21" s="323">
        <v>33069</v>
      </c>
      <c r="AK21" s="323">
        <v>26707</v>
      </c>
      <c r="AL21" s="323">
        <v>33249</v>
      </c>
      <c r="AM21" s="323">
        <v>33448</v>
      </c>
      <c r="AN21" s="323">
        <v>24691</v>
      </c>
      <c r="AO21" s="323">
        <v>18959</v>
      </c>
      <c r="AP21" s="323">
        <v>42173</v>
      </c>
      <c r="AQ21" s="323">
        <v>43661</v>
      </c>
      <c r="AR21" s="323">
        <v>11715</v>
      </c>
      <c r="AS21" s="323">
        <v>11178</v>
      </c>
      <c r="AT21" s="323">
        <v>32498</v>
      </c>
      <c r="AU21" s="323">
        <v>12235.8</v>
      </c>
      <c r="AV21" s="323">
        <v>32774</v>
      </c>
      <c r="AW21" s="323">
        <v>44823</v>
      </c>
      <c r="AX21" s="323">
        <v>10842</v>
      </c>
      <c r="AY21" s="323">
        <v>19477</v>
      </c>
      <c r="AZ21" s="323">
        <v>14314</v>
      </c>
      <c r="BA21" s="323">
        <v>34069</v>
      </c>
    </row>
    <row r="22" spans="1:53" s="99" customFormat="1" x14ac:dyDescent="0.25">
      <c r="A22" s="311" t="s">
        <v>129</v>
      </c>
      <c r="B22" s="322">
        <v>-108839</v>
      </c>
      <c r="C22" s="322">
        <v>-5025</v>
      </c>
      <c r="D22" s="322">
        <v>-41517</v>
      </c>
      <c r="E22" s="322">
        <v>-38109</v>
      </c>
      <c r="F22" s="322">
        <v>-13859</v>
      </c>
      <c r="G22" s="322">
        <v>-58884</v>
      </c>
      <c r="H22" s="322">
        <v>-49004</v>
      </c>
      <c r="I22" s="322">
        <v>-29565</v>
      </c>
      <c r="J22" s="322">
        <v>-159439</v>
      </c>
      <c r="K22" s="322">
        <f>'[2]OPER_FIN 3P TRI'!B264</f>
        <v>-138827</v>
      </c>
      <c r="L22" s="322">
        <v>-50089</v>
      </c>
      <c r="M22" s="322">
        <v>-48276</v>
      </c>
      <c r="N22" s="322">
        <v>-57276</v>
      </c>
      <c r="O22" s="322">
        <v>-47305</v>
      </c>
      <c r="P22" s="322">
        <v>-45431</v>
      </c>
      <c r="Q22" s="322">
        <v>-47248</v>
      </c>
      <c r="R22" s="322">
        <v>-60501</v>
      </c>
      <c r="S22" s="322">
        <v>-52664</v>
      </c>
      <c r="T22" s="322">
        <v>-74869</v>
      </c>
      <c r="U22" s="322">
        <v>-33137</v>
      </c>
      <c r="V22" s="171">
        <v>-34962</v>
      </c>
      <c r="W22" s="322">
        <v>-37182.6</v>
      </c>
      <c r="X22" s="171">
        <v>-31972</v>
      </c>
      <c r="Y22" s="171">
        <v>-35496</v>
      </c>
      <c r="Z22" s="171">
        <v>-29933</v>
      </c>
      <c r="AA22" s="171">
        <v>-80200</v>
      </c>
      <c r="AB22" s="171">
        <v>-30855</v>
      </c>
      <c r="AC22" s="171">
        <v>-85834</v>
      </c>
      <c r="AD22" s="171">
        <v>-60248</v>
      </c>
      <c r="AE22" s="171">
        <v>-86639</v>
      </c>
      <c r="AF22" s="171">
        <v>-34801</v>
      </c>
      <c r="AG22" s="171">
        <v>-30771</v>
      </c>
      <c r="AH22" s="171">
        <v>-88987</v>
      </c>
      <c r="AI22" s="171">
        <v>-49488</v>
      </c>
      <c r="AJ22" s="171">
        <v>-24294</v>
      </c>
      <c r="AK22" s="171">
        <v>-27724</v>
      </c>
      <c r="AL22" s="171">
        <v>-79788</v>
      </c>
      <c r="AM22" s="171">
        <v>-25087</v>
      </c>
      <c r="AN22" s="171">
        <v>-29653</v>
      </c>
      <c r="AO22" s="171">
        <v>-25221</v>
      </c>
      <c r="AP22" s="171">
        <v>-27784</v>
      </c>
      <c r="AQ22" s="171">
        <v>-17057</v>
      </c>
      <c r="AR22" s="171">
        <v>-17344</v>
      </c>
      <c r="AS22" s="171">
        <v>-19531</v>
      </c>
      <c r="AT22" s="171">
        <v>-33236</v>
      </c>
      <c r="AU22" s="171">
        <v>-12839</v>
      </c>
      <c r="AV22" s="171">
        <v>-15194</v>
      </c>
      <c r="AW22" s="171">
        <v>-28359</v>
      </c>
      <c r="AX22" s="171">
        <v>-12860</v>
      </c>
      <c r="AY22" s="171">
        <v>-16446</v>
      </c>
      <c r="AZ22" s="171">
        <v>-21421</v>
      </c>
      <c r="BA22" s="171">
        <v>-12659</v>
      </c>
    </row>
    <row r="23" spans="1:53" s="5" customFormat="1" x14ac:dyDescent="0.25">
      <c r="A23" s="307" t="s">
        <v>251</v>
      </c>
      <c r="B23" s="323">
        <v>0</v>
      </c>
      <c r="C23" s="323">
        <v>0</v>
      </c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f>'[2]OPER_FIN 3P TRI'!B265</f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-16331</v>
      </c>
      <c r="S23" s="323">
        <v>-12222</v>
      </c>
      <c r="T23" s="323">
        <v>-7519</v>
      </c>
      <c r="U23" s="323">
        <v>-11827</v>
      </c>
      <c r="V23" s="323">
        <v>-11536</v>
      </c>
      <c r="W23" s="323">
        <v>-7999</v>
      </c>
      <c r="X23" s="323">
        <v>-6977</v>
      </c>
      <c r="Y23" s="323">
        <v>-10401</v>
      </c>
      <c r="Z23" s="323">
        <v>-9761</v>
      </c>
      <c r="AA23" s="323">
        <v>-9424</v>
      </c>
      <c r="AB23" s="323">
        <v>-6961</v>
      </c>
      <c r="AC23" s="323">
        <v>-9090</v>
      </c>
      <c r="AD23" s="323">
        <v>-8266</v>
      </c>
      <c r="AE23" s="323">
        <v>-6865</v>
      </c>
      <c r="AF23" s="323">
        <v>-9887</v>
      </c>
      <c r="AG23" s="323">
        <v>-2155</v>
      </c>
      <c r="AH23" s="323">
        <v>1565</v>
      </c>
      <c r="AI23" s="323">
        <v>392</v>
      </c>
      <c r="AJ23" s="323">
        <v>-639</v>
      </c>
      <c r="AK23" s="323">
        <v>-1318</v>
      </c>
      <c r="AL23" s="323">
        <v>-2793</v>
      </c>
      <c r="AM23" s="323">
        <v>-5631</v>
      </c>
      <c r="AN23" s="323">
        <v>-4765</v>
      </c>
      <c r="AO23" s="323">
        <v>-6628</v>
      </c>
      <c r="AP23" s="323">
        <v>-11061</v>
      </c>
      <c r="AQ23" s="323">
        <v>-8224</v>
      </c>
      <c r="AR23" s="323">
        <v>-5480</v>
      </c>
      <c r="AS23" s="323">
        <v>-7905</v>
      </c>
      <c r="AT23" s="323">
        <v>-5342</v>
      </c>
      <c r="AU23" s="323">
        <v>-7808</v>
      </c>
      <c r="AV23" s="323">
        <v>-6777</v>
      </c>
      <c r="AW23" s="323">
        <v>-7685</v>
      </c>
      <c r="AX23" s="323">
        <v>-4897</v>
      </c>
      <c r="AY23" s="323">
        <v>-8353</v>
      </c>
      <c r="AZ23" s="323">
        <v>-7323</v>
      </c>
      <c r="BA23" s="323">
        <v>-7744</v>
      </c>
    </row>
    <row r="24" spans="1:53" s="99" customFormat="1" x14ac:dyDescent="0.25">
      <c r="A24" s="311" t="s">
        <v>134</v>
      </c>
      <c r="B24" s="322">
        <v>247</v>
      </c>
      <c r="C24" s="322">
        <v>-2603</v>
      </c>
      <c r="D24" s="322">
        <v>-2754</v>
      </c>
      <c r="E24" s="322">
        <v>-13238</v>
      </c>
      <c r="F24" s="322">
        <v>-4536</v>
      </c>
      <c r="G24" s="322">
        <v>107</v>
      </c>
      <c r="H24" s="322">
        <v>-4387</v>
      </c>
      <c r="I24" s="322">
        <v>-2347</v>
      </c>
      <c r="J24" s="322">
        <v>-4248</v>
      </c>
      <c r="K24" s="322">
        <f>'[2]OPER_FIN 3P TRI'!B266</f>
        <v>-3437</v>
      </c>
      <c r="L24" s="322">
        <v>-2913</v>
      </c>
      <c r="M24" s="322">
        <v>-2093</v>
      </c>
      <c r="N24" s="322">
        <v>2241</v>
      </c>
      <c r="O24" s="322">
        <v>-3802</v>
      </c>
      <c r="P24" s="322">
        <v>-2042</v>
      </c>
      <c r="Q24" s="322">
        <v>-8984</v>
      </c>
      <c r="R24" s="322">
        <v>-3373</v>
      </c>
      <c r="S24" s="322">
        <v>-4332</v>
      </c>
      <c r="T24" s="322">
        <v>-1710</v>
      </c>
      <c r="U24" s="322">
        <v>-3357</v>
      </c>
      <c r="V24" s="171">
        <v>-4662</v>
      </c>
      <c r="W24" s="322">
        <v>-4565.3999999999996</v>
      </c>
      <c r="X24" s="171">
        <v>-2580</v>
      </c>
      <c r="Y24" s="171">
        <v>-1191</v>
      </c>
      <c r="Z24" s="171">
        <v>-1785</v>
      </c>
      <c r="AA24" s="171">
        <v>-2204</v>
      </c>
      <c r="AB24" s="171">
        <v>-2125</v>
      </c>
      <c r="AC24" s="171">
        <v>-1292</v>
      </c>
      <c r="AD24" s="171">
        <v>-215</v>
      </c>
      <c r="AE24" s="171">
        <v>-486</v>
      </c>
      <c r="AF24" s="171">
        <v>-3802</v>
      </c>
      <c r="AG24" s="171">
        <v>-163</v>
      </c>
      <c r="AH24" s="171">
        <v>-1267</v>
      </c>
      <c r="AI24" s="171">
        <v>270</v>
      </c>
      <c r="AJ24" s="171">
        <v>2506</v>
      </c>
      <c r="AK24" s="171">
        <v>-2409</v>
      </c>
      <c r="AL24" s="171">
        <v>-588</v>
      </c>
      <c r="AM24" s="171">
        <v>-4468</v>
      </c>
      <c r="AN24" s="171">
        <v>-1867</v>
      </c>
      <c r="AO24" s="171">
        <v>-2502</v>
      </c>
      <c r="AP24" s="171">
        <v>4575</v>
      </c>
      <c r="AQ24" s="171">
        <v>-3098</v>
      </c>
      <c r="AR24" s="171">
        <v>-4688</v>
      </c>
      <c r="AS24" s="171">
        <v>-3966</v>
      </c>
      <c r="AT24" s="171">
        <v>-3778</v>
      </c>
      <c r="AU24" s="171">
        <v>-4468</v>
      </c>
      <c r="AV24" s="171">
        <v>-2942</v>
      </c>
      <c r="AW24" s="171">
        <v>-2132</v>
      </c>
      <c r="AX24" s="171">
        <v>-6098</v>
      </c>
      <c r="AY24" s="171">
        <v>-4158</v>
      </c>
      <c r="AZ24" s="171">
        <v>-3880</v>
      </c>
      <c r="BA24" s="171">
        <v>-4401</v>
      </c>
    </row>
    <row r="25" spans="1:53" s="99" customFormat="1" x14ac:dyDescent="0.25">
      <c r="A25" s="312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19"/>
      <c r="W25" s="324"/>
      <c r="X25" s="325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</row>
    <row r="26" spans="1:53" s="99" customFormat="1" x14ac:dyDescent="0.25">
      <c r="A26" s="18" t="s">
        <v>146</v>
      </c>
      <c r="B26" s="316">
        <f t="shared" ref="B26:C26" si="4">SUM(B18:B25)</f>
        <v>-369163</v>
      </c>
      <c r="C26" s="316">
        <f t="shared" si="4"/>
        <v>-272575</v>
      </c>
      <c r="D26" s="316">
        <f t="shared" ref="D26" si="5">SUM(D18:D25)</f>
        <v>-334356</v>
      </c>
      <c r="E26" s="316">
        <f t="shared" ref="E26" si="6">SUM(E18:E25)</f>
        <v>-295440</v>
      </c>
      <c r="F26" s="316">
        <f t="shared" ref="F26" si="7">SUM(F18:F25)</f>
        <v>-263781</v>
      </c>
      <c r="G26" s="316">
        <f t="shared" ref="G26" si="8">SUM(G18:G25)</f>
        <v>-278269</v>
      </c>
      <c r="H26" s="316">
        <f t="shared" ref="H26" si="9">SUM(H18:H25)</f>
        <v>-263249</v>
      </c>
      <c r="I26" s="316">
        <f t="shared" ref="I26" si="10">SUM(I18:I25)</f>
        <v>-258219</v>
      </c>
      <c r="J26" s="316">
        <f t="shared" ref="J26" si="11">SUM(J18:J25)</f>
        <v>-349292</v>
      </c>
      <c r="K26" s="316">
        <f t="shared" ref="K26" si="12">SUM(K18:K25)</f>
        <v>-418663</v>
      </c>
      <c r="L26" s="316">
        <f t="shared" ref="L26" si="13">SUM(L18:L25)</f>
        <v>-278739</v>
      </c>
      <c r="M26" s="316">
        <f t="shared" ref="M26" si="14">SUM(M18:M25)</f>
        <v>-257091</v>
      </c>
      <c r="N26" s="316">
        <f t="shared" ref="N26" si="15">SUM(N18:N25)</f>
        <v>-282974</v>
      </c>
      <c r="O26" s="316">
        <f t="shared" ref="O26" si="16">SUM(O18:O25)</f>
        <v>-257866</v>
      </c>
      <c r="P26" s="316">
        <f t="shared" ref="P26" si="17">SUM(P18:P25)</f>
        <v>-326594</v>
      </c>
      <c r="Q26" s="316">
        <f t="shared" ref="Q26" si="18">SUM(Q18:Q25)</f>
        <v>-259354</v>
      </c>
      <c r="R26" s="316">
        <f t="shared" ref="R26" si="19">SUM(R18:R25)</f>
        <v>-279811</v>
      </c>
      <c r="S26" s="316">
        <f t="shared" ref="S26" si="20">SUM(S18:S25)</f>
        <v>-263534</v>
      </c>
      <c r="T26" s="316">
        <f t="shared" ref="T26" si="21">SUM(T18:T25)</f>
        <v>-280941</v>
      </c>
      <c r="U26" s="316">
        <f t="shared" ref="U26" si="22">SUM(U18:U25)</f>
        <v>-218475</v>
      </c>
      <c r="V26" s="316">
        <f t="shared" ref="V26" si="23">SUM(V18:V25)</f>
        <v>-237508</v>
      </c>
      <c r="W26" s="316">
        <f t="shared" ref="W26" si="24">SUM(W18:W25)</f>
        <v>-217985</v>
      </c>
      <c r="X26" s="316">
        <f t="shared" ref="X26" si="25">SUM(X18:X25)</f>
        <v>-248799</v>
      </c>
      <c r="Y26" s="316">
        <f t="shared" ref="Y26" si="26">SUM(Y18:Y25)</f>
        <v>-228060</v>
      </c>
      <c r="Z26" s="316">
        <f t="shared" ref="Z26" si="27">SUM(Z18:Z25)</f>
        <v>-219043</v>
      </c>
      <c r="AA26" s="316">
        <f t="shared" ref="AA26" si="28">SUM(AA18:AA25)</f>
        <v>-189472</v>
      </c>
      <c r="AB26" s="316">
        <f t="shared" ref="AB26" si="29">SUM(AB18:AB25)</f>
        <v>-261216</v>
      </c>
      <c r="AC26" s="316">
        <f t="shared" ref="AC26" si="30">SUM(AC18:AC25)</f>
        <v>-209979</v>
      </c>
      <c r="AD26" s="316">
        <f t="shared" ref="AD26" si="31">SUM(AD18:AD25)</f>
        <v>-178680</v>
      </c>
      <c r="AE26" s="316">
        <f t="shared" ref="AE26" si="32">SUM(AE18:AE25)</f>
        <v>-252436</v>
      </c>
      <c r="AF26" s="316">
        <f t="shared" ref="AF26" si="33">SUM(AF18:AF25)</f>
        <v>-137793</v>
      </c>
      <c r="AG26" s="316">
        <f t="shared" ref="AG26" si="34">SUM(AG18:AG25)</f>
        <v>-177180</v>
      </c>
      <c r="AH26" s="316">
        <f t="shared" ref="AH26" si="35">SUM(AH18:AH25)</f>
        <v>-290262</v>
      </c>
      <c r="AI26" s="316">
        <f t="shared" ref="AI26" si="36">SUM(AI18:AI25)</f>
        <v>-157728</v>
      </c>
      <c r="AJ26" s="316">
        <f t="shared" ref="AJ26" si="37">SUM(AJ18:AJ25)</f>
        <v>-193074</v>
      </c>
      <c r="AK26" s="316">
        <f t="shared" ref="AK26" si="38">SUM(AK18:AK25)</f>
        <v>-182142</v>
      </c>
      <c r="AL26" s="316">
        <f t="shared" ref="AL26" si="39">SUM(AL18:AL25)</f>
        <v>-239578</v>
      </c>
      <c r="AM26" s="316">
        <f t="shared" ref="AM26" si="40">SUM(AM18:AM25)</f>
        <v>-178720</v>
      </c>
      <c r="AN26" s="316">
        <f t="shared" ref="AN26" si="41">SUM(AN18:AN25)</f>
        <v>-190301</v>
      </c>
      <c r="AO26" s="316">
        <f t="shared" ref="AO26" si="42">SUM(AO18:AO25)</f>
        <v>-178643</v>
      </c>
      <c r="AP26" s="316">
        <f t="shared" ref="AP26" si="43">SUM(AP18:AP25)</f>
        <v>-172289</v>
      </c>
      <c r="AQ26" s="316">
        <f t="shared" ref="AQ26" si="44">SUM(AQ18:AQ25)</f>
        <v>-150430</v>
      </c>
      <c r="AR26" s="316">
        <f t="shared" ref="AR26" si="45">SUM(AR18:AR25)</f>
        <v>-182520</v>
      </c>
      <c r="AS26" s="316">
        <f t="shared" ref="AS26" si="46">SUM(AS18:AS25)</f>
        <v>-161696</v>
      </c>
      <c r="AT26" s="316">
        <f t="shared" ref="AT26" si="47">SUM(AT18:AT25)</f>
        <v>-150446</v>
      </c>
      <c r="AU26" s="316">
        <f t="shared" ref="AU26" si="48">SUM(AU18:AU25)</f>
        <v>-171905.6</v>
      </c>
      <c r="AV26" s="316">
        <f t="shared" ref="AV26" si="49">SUM(AV18:AV25)</f>
        <v>-127083</v>
      </c>
      <c r="AW26" s="316">
        <f t="shared" ref="AW26" si="50">SUM(AW18:AW25)</f>
        <v>-139658</v>
      </c>
      <c r="AX26" s="316">
        <f t="shared" ref="AX26" si="51">SUM(AX18:AX25)</f>
        <v>-163574</v>
      </c>
      <c r="AY26" s="316">
        <f t="shared" ref="AY26" si="52">SUM(AY18:AY25)</f>
        <v>-152395</v>
      </c>
      <c r="AZ26" s="316">
        <f t="shared" ref="AZ26" si="53">SUM(AZ18:AZ25)</f>
        <v>-145534</v>
      </c>
      <c r="BA26" s="316">
        <f t="shared" ref="BA26" si="54">SUM(BA18:BA25)</f>
        <v>-107872</v>
      </c>
    </row>
    <row r="27" spans="1:53" s="99" customFormat="1" ht="30" x14ac:dyDescent="0.25">
      <c r="A27" s="18" t="s">
        <v>33</v>
      </c>
      <c r="B27" s="316">
        <f>B16+B26</f>
        <v>481866</v>
      </c>
      <c r="C27" s="316">
        <f>C16+C26</f>
        <v>494399</v>
      </c>
      <c r="D27" s="316">
        <f t="shared" ref="D27:BA27" si="55">D16+D26</f>
        <v>326499</v>
      </c>
      <c r="E27" s="316">
        <f t="shared" si="55"/>
        <v>485596</v>
      </c>
      <c r="F27" s="316">
        <f t="shared" si="55"/>
        <v>344597</v>
      </c>
      <c r="G27" s="316">
        <f t="shared" si="55"/>
        <v>335426</v>
      </c>
      <c r="H27" s="316">
        <f t="shared" si="55"/>
        <v>315851</v>
      </c>
      <c r="I27" s="316">
        <f t="shared" si="55"/>
        <v>261639</v>
      </c>
      <c r="J27" s="316">
        <f t="shared" si="55"/>
        <v>110420</v>
      </c>
      <c r="K27" s="316">
        <f t="shared" si="55"/>
        <v>64968</v>
      </c>
      <c r="L27" s="316">
        <f t="shared" si="55"/>
        <v>321349</v>
      </c>
      <c r="M27" s="316">
        <f t="shared" si="55"/>
        <v>352294</v>
      </c>
      <c r="N27" s="316">
        <f t="shared" si="55"/>
        <v>381775</v>
      </c>
      <c r="O27" s="316">
        <f t="shared" si="55"/>
        <v>365564</v>
      </c>
      <c r="P27" s="316">
        <f t="shared" si="55"/>
        <v>218446</v>
      </c>
      <c r="Q27" s="316">
        <f t="shared" si="55"/>
        <v>315463</v>
      </c>
      <c r="R27" s="316">
        <f t="shared" si="55"/>
        <v>357074</v>
      </c>
      <c r="S27" s="316">
        <f t="shared" si="55"/>
        <v>304647</v>
      </c>
      <c r="T27" s="316">
        <f t="shared" si="55"/>
        <v>197293</v>
      </c>
      <c r="U27" s="316">
        <f t="shared" si="55"/>
        <v>297185</v>
      </c>
      <c r="V27" s="316">
        <f t="shared" si="55"/>
        <v>255679</v>
      </c>
      <c r="W27" s="316">
        <f t="shared" si="55"/>
        <v>205751</v>
      </c>
      <c r="X27" s="316">
        <f t="shared" si="55"/>
        <v>203140</v>
      </c>
      <c r="Y27" s="316">
        <f t="shared" si="55"/>
        <v>259008</v>
      </c>
      <c r="Z27" s="316">
        <f t="shared" si="55"/>
        <v>257934</v>
      </c>
      <c r="AA27" s="316">
        <f t="shared" si="55"/>
        <v>241005</v>
      </c>
      <c r="AB27" s="316">
        <f t="shared" si="55"/>
        <v>203672</v>
      </c>
      <c r="AC27" s="316">
        <f t="shared" si="55"/>
        <v>256349</v>
      </c>
      <c r="AD27" s="316">
        <f t="shared" si="55"/>
        <v>240582</v>
      </c>
      <c r="AE27" s="316">
        <f t="shared" si="55"/>
        <v>206388</v>
      </c>
      <c r="AF27" s="316">
        <f t="shared" si="55"/>
        <v>179202</v>
      </c>
      <c r="AG27" s="316">
        <f t="shared" si="55"/>
        <v>175065</v>
      </c>
      <c r="AH27" s="316">
        <f t="shared" si="55"/>
        <v>2237</v>
      </c>
      <c r="AI27" s="316">
        <f t="shared" si="55"/>
        <v>150455</v>
      </c>
      <c r="AJ27" s="316">
        <f t="shared" si="55"/>
        <v>62877</v>
      </c>
      <c r="AK27" s="316">
        <f t="shared" si="55"/>
        <v>98558</v>
      </c>
      <c r="AL27" s="316">
        <f t="shared" si="55"/>
        <v>88456</v>
      </c>
      <c r="AM27" s="316">
        <f t="shared" si="55"/>
        <v>182616</v>
      </c>
      <c r="AN27" s="316">
        <f t="shared" si="55"/>
        <v>152924</v>
      </c>
      <c r="AO27" s="316">
        <f t="shared" si="55"/>
        <v>195458</v>
      </c>
      <c r="AP27" s="316">
        <f t="shared" si="55"/>
        <v>184496</v>
      </c>
      <c r="AQ27" s="316">
        <f t="shared" si="55"/>
        <v>194186</v>
      </c>
      <c r="AR27" s="316">
        <f t="shared" si="55"/>
        <v>152259</v>
      </c>
      <c r="AS27" s="316">
        <f t="shared" si="55"/>
        <v>193987</v>
      </c>
      <c r="AT27" s="316">
        <f t="shared" si="55"/>
        <v>198158</v>
      </c>
      <c r="AU27" s="316">
        <f t="shared" si="55"/>
        <v>190267.70000000004</v>
      </c>
      <c r="AV27" s="316">
        <f t="shared" si="55"/>
        <v>181892</v>
      </c>
      <c r="AW27" s="316">
        <f t="shared" si="55"/>
        <v>199370</v>
      </c>
      <c r="AX27" s="316">
        <f t="shared" si="55"/>
        <v>153376</v>
      </c>
      <c r="AY27" s="316">
        <f t="shared" si="55"/>
        <v>194881</v>
      </c>
      <c r="AZ27" s="316">
        <f t="shared" si="55"/>
        <v>175374</v>
      </c>
      <c r="BA27" s="316">
        <f t="shared" si="55"/>
        <v>214097</v>
      </c>
    </row>
    <row r="28" spans="1:53" s="99" customFormat="1" x14ac:dyDescent="0.25">
      <c r="A28" s="3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6"/>
      <c r="X28" s="17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</row>
    <row r="29" spans="1:53" s="99" customFormat="1" x14ac:dyDescent="0.25">
      <c r="A29" s="307" t="s">
        <v>130</v>
      </c>
      <c r="B29" s="323">
        <v>84791</v>
      </c>
      <c r="C29" s="323">
        <v>77770</v>
      </c>
      <c r="D29" s="323">
        <v>86253</v>
      </c>
      <c r="E29" s="323">
        <v>78687</v>
      </c>
      <c r="F29" s="323">
        <v>64072</v>
      </c>
      <c r="G29" s="323">
        <v>57665</v>
      </c>
      <c r="H29" s="323">
        <v>58911</v>
      </c>
      <c r="I29" s="323">
        <f>'[1]OPER_FIN 3P TRI'!B281</f>
        <v>91953</v>
      </c>
      <c r="J29" s="323">
        <v>156232</v>
      </c>
      <c r="K29" s="323">
        <v>34855</v>
      </c>
      <c r="L29" s="323">
        <v>57091</v>
      </c>
      <c r="M29" s="323">
        <v>36989</v>
      </c>
      <c r="N29" s="323">
        <v>17184</v>
      </c>
      <c r="O29" s="323">
        <v>35555</v>
      </c>
      <c r="P29" s="323">
        <v>41011</v>
      </c>
      <c r="Q29" s="323">
        <v>52212</v>
      </c>
      <c r="R29" s="323">
        <v>35108</v>
      </c>
      <c r="S29" s="323">
        <v>28648</v>
      </c>
      <c r="T29" s="323">
        <v>29667</v>
      </c>
      <c r="U29" s="323">
        <v>22124</v>
      </c>
      <c r="V29" s="326">
        <v>22514</v>
      </c>
      <c r="W29" s="323">
        <v>41715</v>
      </c>
      <c r="X29" s="326">
        <v>31665</v>
      </c>
      <c r="Y29" s="326">
        <v>20668</v>
      </c>
      <c r="Z29" s="326">
        <v>23698</v>
      </c>
      <c r="AA29" s="326">
        <v>28558</v>
      </c>
      <c r="AB29" s="326">
        <v>43361</v>
      </c>
      <c r="AC29" s="326">
        <v>36528</v>
      </c>
      <c r="AD29" s="326">
        <v>52648</v>
      </c>
      <c r="AE29" s="326">
        <v>29033</v>
      </c>
      <c r="AF29" s="326">
        <v>73542</v>
      </c>
      <c r="AG29" s="326">
        <v>47027</v>
      </c>
      <c r="AH29" s="326">
        <v>32992</v>
      </c>
      <c r="AI29" s="326">
        <v>42533</v>
      </c>
      <c r="AJ29" s="326">
        <v>15445</v>
      </c>
      <c r="AK29" s="326">
        <v>30585</v>
      </c>
      <c r="AL29" s="326">
        <v>18053</v>
      </c>
      <c r="AM29" s="326">
        <v>11851</v>
      </c>
      <c r="AN29" s="326">
        <v>24846</v>
      </c>
      <c r="AO29" s="326">
        <v>22924</v>
      </c>
      <c r="AP29" s="326">
        <v>16143</v>
      </c>
      <c r="AQ29" s="326">
        <v>25564</v>
      </c>
      <c r="AR29" s="326">
        <v>21873</v>
      </c>
      <c r="AS29" s="326">
        <v>22255</v>
      </c>
      <c r="AT29" s="326">
        <v>29709</v>
      </c>
      <c r="AU29" s="326">
        <v>46540</v>
      </c>
      <c r="AV29" s="326">
        <v>28297</v>
      </c>
      <c r="AW29" s="326">
        <v>30171</v>
      </c>
      <c r="AX29" s="326">
        <v>26567</v>
      </c>
      <c r="AY29" s="326">
        <v>24638</v>
      </c>
      <c r="AZ29" s="326">
        <v>24848</v>
      </c>
      <c r="BA29" s="326">
        <v>20279</v>
      </c>
    </row>
    <row r="30" spans="1:53" s="99" customFormat="1" x14ac:dyDescent="0.25">
      <c r="A30" s="311" t="s">
        <v>147</v>
      </c>
      <c r="B30" s="322">
        <v>-106824</v>
      </c>
      <c r="C30" s="322">
        <v>12984</v>
      </c>
      <c r="D30" s="322">
        <v>-107993</v>
      </c>
      <c r="E30" s="322">
        <v>-127756</v>
      </c>
      <c r="F30" s="322">
        <v>-141470</v>
      </c>
      <c r="G30" s="322">
        <v>-89445</v>
      </c>
      <c r="H30" s="322">
        <v>-138937</v>
      </c>
      <c r="I30" s="322">
        <f>'[1]OPER_FIN 3P TRI'!B282</f>
        <v>-114308</v>
      </c>
      <c r="J30" s="322">
        <v>-215949</v>
      </c>
      <c r="K30" s="322">
        <v>-125020</v>
      </c>
      <c r="L30" s="322">
        <v>-54022</v>
      </c>
      <c r="M30" s="322">
        <v>-84758</v>
      </c>
      <c r="N30" s="322">
        <v>-42580</v>
      </c>
      <c r="O30" s="322">
        <v>-73393</v>
      </c>
      <c r="P30" s="322">
        <v>-61062</v>
      </c>
      <c r="Q30" s="322">
        <v>-144900</v>
      </c>
      <c r="R30" s="322">
        <v>-57525</v>
      </c>
      <c r="S30" s="322">
        <v>-67838</v>
      </c>
      <c r="T30" s="322">
        <v>-60486</v>
      </c>
      <c r="U30" s="322">
        <v>-63593</v>
      </c>
      <c r="V30" s="171">
        <v>-57324</v>
      </c>
      <c r="W30" s="322">
        <v>-83387</v>
      </c>
      <c r="X30" s="171">
        <v>-95942</v>
      </c>
      <c r="Y30" s="171">
        <v>-71615</v>
      </c>
      <c r="Z30" s="171">
        <v>-79621</v>
      </c>
      <c r="AA30" s="171">
        <v>-64094</v>
      </c>
      <c r="AB30" s="171">
        <v>-101258</v>
      </c>
      <c r="AC30" s="171">
        <v>-87432</v>
      </c>
      <c r="AD30" s="171">
        <v>-103773</v>
      </c>
      <c r="AE30" s="171">
        <v>-87509</v>
      </c>
      <c r="AF30" s="171">
        <v>-98379</v>
      </c>
      <c r="AG30" s="171">
        <v>-113794</v>
      </c>
      <c r="AH30" s="171">
        <v>-83440</v>
      </c>
      <c r="AI30" s="171">
        <v>-184989</v>
      </c>
      <c r="AJ30" s="171">
        <v>-84296</v>
      </c>
      <c r="AK30" s="171">
        <v>-111899</v>
      </c>
      <c r="AL30" s="171">
        <v>-68685</v>
      </c>
      <c r="AM30" s="171">
        <v>-60253</v>
      </c>
      <c r="AN30" s="171">
        <v>-68457</v>
      </c>
      <c r="AO30" s="171">
        <v>-67089</v>
      </c>
      <c r="AP30" s="171">
        <v>-64204</v>
      </c>
      <c r="AQ30" s="171">
        <v>-55843</v>
      </c>
      <c r="AR30" s="171">
        <v>-65075</v>
      </c>
      <c r="AS30" s="171">
        <v>-59481</v>
      </c>
      <c r="AT30" s="171">
        <v>-61706</v>
      </c>
      <c r="AU30" s="171">
        <v>-69951</v>
      </c>
      <c r="AV30" s="171">
        <v>-64625</v>
      </c>
      <c r="AW30" s="171">
        <v>-61089</v>
      </c>
      <c r="AX30" s="171">
        <v>-57129</v>
      </c>
      <c r="AY30" s="171">
        <v>-48953</v>
      </c>
      <c r="AZ30" s="171">
        <v>-39669</v>
      </c>
      <c r="BA30" s="171">
        <v>-39437</v>
      </c>
    </row>
    <row r="31" spans="1:53" s="99" customFormat="1" x14ac:dyDescent="0.25">
      <c r="A31" s="312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6"/>
      <c r="W31" s="323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</row>
    <row r="32" spans="1:53" s="99" customFormat="1" x14ac:dyDescent="0.25">
      <c r="A32" s="18" t="s">
        <v>443</v>
      </c>
      <c r="B32" s="316">
        <f>SUM(B29:B30)</f>
        <v>-22033</v>
      </c>
      <c r="C32" s="316">
        <f t="shared" ref="C32:BA32" si="56">SUM(C29:C30)</f>
        <v>90754</v>
      </c>
      <c r="D32" s="316">
        <f t="shared" si="56"/>
        <v>-21740</v>
      </c>
      <c r="E32" s="316">
        <f t="shared" si="56"/>
        <v>-49069</v>
      </c>
      <c r="F32" s="316">
        <f t="shared" si="56"/>
        <v>-77398</v>
      </c>
      <c r="G32" s="316">
        <f t="shared" si="56"/>
        <v>-31780</v>
      </c>
      <c r="H32" s="316">
        <f t="shared" si="56"/>
        <v>-80026</v>
      </c>
      <c r="I32" s="316">
        <f t="shared" si="56"/>
        <v>-22355</v>
      </c>
      <c r="J32" s="316">
        <f t="shared" si="56"/>
        <v>-59717</v>
      </c>
      <c r="K32" s="316">
        <f t="shared" si="56"/>
        <v>-90165</v>
      </c>
      <c r="L32" s="316">
        <f t="shared" si="56"/>
        <v>3069</v>
      </c>
      <c r="M32" s="316">
        <f t="shared" si="56"/>
        <v>-47769</v>
      </c>
      <c r="N32" s="316">
        <f t="shared" si="56"/>
        <v>-25396</v>
      </c>
      <c r="O32" s="316">
        <f t="shared" si="56"/>
        <v>-37838</v>
      </c>
      <c r="P32" s="316">
        <f t="shared" si="56"/>
        <v>-20051</v>
      </c>
      <c r="Q32" s="316">
        <f t="shared" si="56"/>
        <v>-92688</v>
      </c>
      <c r="R32" s="316">
        <f t="shared" si="56"/>
        <v>-22417</v>
      </c>
      <c r="S32" s="316">
        <f t="shared" si="56"/>
        <v>-39190</v>
      </c>
      <c r="T32" s="316">
        <f t="shared" si="56"/>
        <v>-30819</v>
      </c>
      <c r="U32" s="316">
        <f t="shared" si="56"/>
        <v>-41469</v>
      </c>
      <c r="V32" s="316">
        <f t="shared" si="56"/>
        <v>-34810</v>
      </c>
      <c r="W32" s="316">
        <f t="shared" si="56"/>
        <v>-41672</v>
      </c>
      <c r="X32" s="316">
        <f t="shared" si="56"/>
        <v>-64277</v>
      </c>
      <c r="Y32" s="316">
        <f t="shared" si="56"/>
        <v>-50947</v>
      </c>
      <c r="Z32" s="316">
        <f t="shared" si="56"/>
        <v>-55923</v>
      </c>
      <c r="AA32" s="316">
        <f t="shared" si="56"/>
        <v>-35536</v>
      </c>
      <c r="AB32" s="316">
        <f t="shared" si="56"/>
        <v>-57897</v>
      </c>
      <c r="AC32" s="316">
        <f t="shared" si="56"/>
        <v>-50904</v>
      </c>
      <c r="AD32" s="316">
        <f t="shared" si="56"/>
        <v>-51125</v>
      </c>
      <c r="AE32" s="316">
        <f t="shared" si="56"/>
        <v>-58476</v>
      </c>
      <c r="AF32" s="316">
        <f t="shared" si="56"/>
        <v>-24837</v>
      </c>
      <c r="AG32" s="316">
        <f t="shared" si="56"/>
        <v>-66767</v>
      </c>
      <c r="AH32" s="316">
        <f t="shared" si="56"/>
        <v>-50448</v>
      </c>
      <c r="AI32" s="316">
        <f t="shared" si="56"/>
        <v>-142456</v>
      </c>
      <c r="AJ32" s="316">
        <f t="shared" si="56"/>
        <v>-68851</v>
      </c>
      <c r="AK32" s="316">
        <f t="shared" si="56"/>
        <v>-81314</v>
      </c>
      <c r="AL32" s="316">
        <f t="shared" si="56"/>
        <v>-50632</v>
      </c>
      <c r="AM32" s="316">
        <f t="shared" si="56"/>
        <v>-48402</v>
      </c>
      <c r="AN32" s="316">
        <f t="shared" si="56"/>
        <v>-43611</v>
      </c>
      <c r="AO32" s="316">
        <f t="shared" si="56"/>
        <v>-44165</v>
      </c>
      <c r="AP32" s="316">
        <f t="shared" si="56"/>
        <v>-48061</v>
      </c>
      <c r="AQ32" s="316">
        <f t="shared" si="56"/>
        <v>-30279</v>
      </c>
      <c r="AR32" s="316">
        <f t="shared" si="56"/>
        <v>-43202</v>
      </c>
      <c r="AS32" s="316">
        <f t="shared" si="56"/>
        <v>-37226</v>
      </c>
      <c r="AT32" s="316">
        <f t="shared" si="56"/>
        <v>-31997</v>
      </c>
      <c r="AU32" s="316">
        <f t="shared" si="56"/>
        <v>-23411</v>
      </c>
      <c r="AV32" s="316">
        <f t="shared" si="56"/>
        <v>-36328</v>
      </c>
      <c r="AW32" s="316">
        <f t="shared" si="56"/>
        <v>-30918</v>
      </c>
      <c r="AX32" s="316">
        <f t="shared" si="56"/>
        <v>-30562</v>
      </c>
      <c r="AY32" s="316">
        <f t="shared" si="56"/>
        <v>-24315</v>
      </c>
      <c r="AZ32" s="316">
        <f t="shared" si="56"/>
        <v>-14821</v>
      </c>
      <c r="BA32" s="316">
        <f t="shared" si="56"/>
        <v>-19158</v>
      </c>
    </row>
    <row r="33" spans="1:53" s="99" customFormat="1" x14ac:dyDescent="0.25">
      <c r="A33" s="3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6"/>
      <c r="X33" s="17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</row>
    <row r="34" spans="1:53" s="99" customFormat="1" x14ac:dyDescent="0.25">
      <c r="A34" s="18" t="s">
        <v>442</v>
      </c>
      <c r="B34" s="316">
        <f>B27+B32</f>
        <v>459833</v>
      </c>
      <c r="C34" s="316">
        <f>C27+C32</f>
        <v>585153</v>
      </c>
      <c r="D34" s="316">
        <f t="shared" ref="D34:BA34" si="57">D27+D32</f>
        <v>304759</v>
      </c>
      <c r="E34" s="316">
        <f t="shared" si="57"/>
        <v>436527</v>
      </c>
      <c r="F34" s="316">
        <f t="shared" si="57"/>
        <v>267199</v>
      </c>
      <c r="G34" s="316">
        <f t="shared" si="57"/>
        <v>303646</v>
      </c>
      <c r="H34" s="316">
        <f t="shared" si="57"/>
        <v>235825</v>
      </c>
      <c r="I34" s="316">
        <f t="shared" si="57"/>
        <v>239284</v>
      </c>
      <c r="J34" s="316">
        <f t="shared" si="57"/>
        <v>50703</v>
      </c>
      <c r="K34" s="316">
        <f t="shared" si="57"/>
        <v>-25197</v>
      </c>
      <c r="L34" s="316">
        <f t="shared" si="57"/>
        <v>324418</v>
      </c>
      <c r="M34" s="316">
        <f t="shared" si="57"/>
        <v>304525</v>
      </c>
      <c r="N34" s="316">
        <f t="shared" si="57"/>
        <v>356379</v>
      </c>
      <c r="O34" s="316">
        <f t="shared" si="57"/>
        <v>327726</v>
      </c>
      <c r="P34" s="316">
        <f t="shared" si="57"/>
        <v>198395</v>
      </c>
      <c r="Q34" s="316">
        <f t="shared" si="57"/>
        <v>222775</v>
      </c>
      <c r="R34" s="316">
        <f t="shared" si="57"/>
        <v>334657</v>
      </c>
      <c r="S34" s="316">
        <f t="shared" si="57"/>
        <v>265457</v>
      </c>
      <c r="T34" s="316">
        <f t="shared" si="57"/>
        <v>166474</v>
      </c>
      <c r="U34" s="316">
        <f t="shared" si="57"/>
        <v>255716</v>
      </c>
      <c r="V34" s="316">
        <f t="shared" si="57"/>
        <v>220869</v>
      </c>
      <c r="W34" s="316">
        <f t="shared" si="57"/>
        <v>164079</v>
      </c>
      <c r="X34" s="316">
        <f t="shared" si="57"/>
        <v>138863</v>
      </c>
      <c r="Y34" s="316">
        <f t="shared" si="57"/>
        <v>208061</v>
      </c>
      <c r="Z34" s="316">
        <f t="shared" si="57"/>
        <v>202011</v>
      </c>
      <c r="AA34" s="316">
        <f t="shared" si="57"/>
        <v>205469</v>
      </c>
      <c r="AB34" s="316">
        <f t="shared" si="57"/>
        <v>145775</v>
      </c>
      <c r="AC34" s="316">
        <f t="shared" si="57"/>
        <v>205445</v>
      </c>
      <c r="AD34" s="316">
        <f t="shared" si="57"/>
        <v>189457</v>
      </c>
      <c r="AE34" s="316">
        <f t="shared" si="57"/>
        <v>147912</v>
      </c>
      <c r="AF34" s="316">
        <f t="shared" si="57"/>
        <v>154365</v>
      </c>
      <c r="AG34" s="316">
        <f t="shared" si="57"/>
        <v>108298</v>
      </c>
      <c r="AH34" s="316">
        <f t="shared" si="57"/>
        <v>-48211</v>
      </c>
      <c r="AI34" s="316">
        <f t="shared" si="57"/>
        <v>7999</v>
      </c>
      <c r="AJ34" s="316">
        <f t="shared" si="57"/>
        <v>-5974</v>
      </c>
      <c r="AK34" s="316">
        <f t="shared" si="57"/>
        <v>17244</v>
      </c>
      <c r="AL34" s="316">
        <f t="shared" si="57"/>
        <v>37824</v>
      </c>
      <c r="AM34" s="316">
        <f t="shared" si="57"/>
        <v>134214</v>
      </c>
      <c r="AN34" s="316">
        <f t="shared" si="57"/>
        <v>109313</v>
      </c>
      <c r="AO34" s="316">
        <f t="shared" si="57"/>
        <v>151293</v>
      </c>
      <c r="AP34" s="316">
        <f t="shared" si="57"/>
        <v>136435</v>
      </c>
      <c r="AQ34" s="316">
        <f t="shared" si="57"/>
        <v>163907</v>
      </c>
      <c r="AR34" s="316">
        <f t="shared" si="57"/>
        <v>109057</v>
      </c>
      <c r="AS34" s="316">
        <f t="shared" si="57"/>
        <v>156761</v>
      </c>
      <c r="AT34" s="316">
        <f t="shared" si="57"/>
        <v>166161</v>
      </c>
      <c r="AU34" s="316">
        <f t="shared" si="57"/>
        <v>166856.70000000004</v>
      </c>
      <c r="AV34" s="316">
        <f t="shared" si="57"/>
        <v>145564</v>
      </c>
      <c r="AW34" s="316">
        <f t="shared" si="57"/>
        <v>168452</v>
      </c>
      <c r="AX34" s="316">
        <f t="shared" si="57"/>
        <v>122814</v>
      </c>
      <c r="AY34" s="316">
        <f t="shared" si="57"/>
        <v>170566</v>
      </c>
      <c r="AZ34" s="316">
        <f t="shared" si="57"/>
        <v>160553</v>
      </c>
      <c r="BA34" s="316">
        <f t="shared" si="57"/>
        <v>194939</v>
      </c>
    </row>
    <row r="35" spans="1:53" s="99" customFormat="1" x14ac:dyDescent="0.25">
      <c r="A35" s="312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5"/>
      <c r="W35" s="324"/>
      <c r="X35" s="325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</row>
    <row r="36" spans="1:53" s="99" customFormat="1" ht="17.25" x14ac:dyDescent="0.25">
      <c r="A36" s="313" t="s">
        <v>448</v>
      </c>
      <c r="B36" s="322">
        <v>-81746</v>
      </c>
      <c r="C36" s="322">
        <f>'[3]BD CSMG'!G237</f>
        <v>-70959</v>
      </c>
      <c r="D36" s="322">
        <f>'[3]BD CSMG'!H237</f>
        <v>-50389</v>
      </c>
      <c r="E36" s="322">
        <f>'[3]BD CSMG'!I237</f>
        <v>-102519</v>
      </c>
      <c r="F36" s="322">
        <f>'[3]BD CSMG'!J237</f>
        <v>18393</v>
      </c>
      <c r="G36" s="322">
        <f>'[3]BD CSMG'!K237</f>
        <v>-87280</v>
      </c>
      <c r="H36" s="322">
        <f>'[3]BD CSMG'!L237</f>
        <v>-58065</v>
      </c>
      <c r="I36" s="322">
        <f>'[3]BD CSMG'!M237</f>
        <v>0</v>
      </c>
      <c r="J36" s="322">
        <f>'[3]BD CSMG'!N237</f>
        <v>-57964</v>
      </c>
      <c r="K36" s="322">
        <f>'[3]BD CSMG'!O237</f>
        <v>29121</v>
      </c>
      <c r="L36" s="322">
        <f>'[3]BD CSMG'!P237</f>
        <v>-105557</v>
      </c>
      <c r="M36" s="322">
        <f>'[3]BD CSMG'!Q237</f>
        <v>-123105</v>
      </c>
      <c r="N36" s="322">
        <f>'[3]BD CSMG'!R237</f>
        <v>-80199</v>
      </c>
      <c r="O36" s="322">
        <f>'[3]BD CSMG'!S237</f>
        <v>-95493</v>
      </c>
      <c r="P36" s="322">
        <f>'[3]BD CSMG'!T237</f>
        <v>-83185</v>
      </c>
      <c r="Q36" s="322">
        <f>'[3]BD CSMG'!U237</f>
        <v>-90758</v>
      </c>
      <c r="R36" s="322">
        <f>'[3]BD CSMG'!V237</f>
        <v>-69562</v>
      </c>
      <c r="S36" s="322">
        <f>'[3]BD CSMG'!W237</f>
        <v>-91243</v>
      </c>
      <c r="T36" s="322">
        <f>'[3]BD CSMG'!X237</f>
        <v>-66497</v>
      </c>
      <c r="U36" s="322">
        <f>'[3]BD CSMG'!Y237</f>
        <v>-70867</v>
      </c>
      <c r="V36" s="171">
        <v>-42866</v>
      </c>
      <c r="W36" s="322">
        <v>-37767</v>
      </c>
      <c r="X36" s="171">
        <v>-28711</v>
      </c>
      <c r="Y36" s="171">
        <v>-43828</v>
      </c>
      <c r="Z36" s="171">
        <v>-51221</v>
      </c>
      <c r="AA36" s="171">
        <v>-55721</v>
      </c>
      <c r="AB36" s="171">
        <v>-34888</v>
      </c>
      <c r="AC36" s="171">
        <v>-56432</v>
      </c>
      <c r="AD36" s="171">
        <v>-57705</v>
      </c>
      <c r="AE36" s="171">
        <v>-38251</v>
      </c>
      <c r="AF36" s="171">
        <v>-51422</v>
      </c>
      <c r="AG36" s="171">
        <v>-18493</v>
      </c>
      <c r="AH36" s="171">
        <v>7444</v>
      </c>
      <c r="AI36" s="171">
        <v>939</v>
      </c>
      <c r="AJ36" s="171">
        <v>9762</v>
      </c>
      <c r="AK36" s="171">
        <v>-794</v>
      </c>
      <c r="AL36" s="171">
        <v>-16278</v>
      </c>
      <c r="AM36" s="171">
        <v>-36153</v>
      </c>
      <c r="AN36" s="171">
        <v>-27388</v>
      </c>
      <c r="AO36" s="171">
        <v>-34680</v>
      </c>
      <c r="AP36" s="171">
        <v>-35068</v>
      </c>
      <c r="AQ36" s="171">
        <v>-38068</v>
      </c>
      <c r="AR36" s="171">
        <v>-32836</v>
      </c>
      <c r="AS36" s="171">
        <v>-40390</v>
      </c>
      <c r="AT36" s="171">
        <v>-39988</v>
      </c>
      <c r="AU36" s="171">
        <v>-38874</v>
      </c>
      <c r="AV36" s="171">
        <v>-37174</v>
      </c>
      <c r="AW36" s="171">
        <v>-44070</v>
      </c>
      <c r="AX36" s="171">
        <v>-17231</v>
      </c>
      <c r="AY36" s="171">
        <v>-50462</v>
      </c>
      <c r="AZ36" s="171">
        <v>-46049</v>
      </c>
      <c r="BA36" s="171">
        <v>-64692</v>
      </c>
    </row>
    <row r="37" spans="1:53" s="99" customFormat="1" ht="17.25" x14ac:dyDescent="0.25">
      <c r="A37" s="19" t="s">
        <v>449</v>
      </c>
      <c r="B37" s="323">
        <v>-22837</v>
      </c>
      <c r="C37" s="323">
        <f>'[3]BD CSMG'!G238</f>
        <v>-77080</v>
      </c>
      <c r="D37" s="323">
        <f>'[3]BD CSMG'!H238</f>
        <v>-5094</v>
      </c>
      <c r="E37" s="323">
        <f>'[3]BD CSMG'!I238</f>
        <v>3698</v>
      </c>
      <c r="F37" s="323">
        <f>'[3]BD CSMG'!J238</f>
        <v>-17310</v>
      </c>
      <c r="G37" s="323">
        <f>'[3]BD CSMG'!K238</f>
        <v>10802</v>
      </c>
      <c r="H37" s="323">
        <f>'[3]BD CSMG'!L238</f>
        <v>2630</v>
      </c>
      <c r="I37" s="323">
        <f>'[3]BD CSMG'!M238</f>
        <v>-71762</v>
      </c>
      <c r="J37" s="323">
        <f>'[3]BD CSMG'!N238</f>
        <v>71563</v>
      </c>
      <c r="K37" s="323">
        <f>'[3]BD CSMG'!O238</f>
        <v>12445</v>
      </c>
      <c r="L37" s="323">
        <f>'[3]BD CSMG'!P238</f>
        <v>18268</v>
      </c>
      <c r="M37" s="323">
        <f>'[3]BD CSMG'!Q238</f>
        <v>38367</v>
      </c>
      <c r="N37" s="323">
        <f>'[3]BD CSMG'!R238</f>
        <v>-7426</v>
      </c>
      <c r="O37" s="323">
        <f>'[3]BD CSMG'!S238</f>
        <v>8310</v>
      </c>
      <c r="P37" s="323">
        <f>'[3]BD CSMG'!T238</f>
        <v>31135</v>
      </c>
      <c r="Q37" s="323">
        <f>'[3]BD CSMG'!U238</f>
        <v>28818</v>
      </c>
      <c r="R37" s="323">
        <f>'[3]BD CSMG'!V238</f>
        <v>-9808</v>
      </c>
      <c r="S37" s="323">
        <f>'[3]BD CSMG'!W238</f>
        <v>19079</v>
      </c>
      <c r="T37" s="323">
        <f>'[3]BD CSMG'!X238</f>
        <v>19082</v>
      </c>
      <c r="U37" s="323">
        <f>'[3]BD CSMG'!Y238</f>
        <v>1886</v>
      </c>
      <c r="V37" s="326"/>
      <c r="W37" s="323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</row>
    <row r="38" spans="1:53" s="99" customFormat="1" x14ac:dyDescent="0.25">
      <c r="A38" s="313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171"/>
      <c r="W38" s="322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</row>
    <row r="39" spans="1:53" s="99" customFormat="1" x14ac:dyDescent="0.25">
      <c r="A39" s="18" t="s">
        <v>441</v>
      </c>
      <c r="B39" s="316">
        <f>B34+B36+B37</f>
        <v>355250</v>
      </c>
      <c r="C39" s="316">
        <f>C34+C36+C37</f>
        <v>437114</v>
      </c>
      <c r="D39" s="316">
        <f t="shared" ref="D39:BA39" si="58">D34+D36+D37</f>
        <v>249276</v>
      </c>
      <c r="E39" s="316">
        <f t="shared" si="58"/>
        <v>337706</v>
      </c>
      <c r="F39" s="316">
        <f t="shared" si="58"/>
        <v>268282</v>
      </c>
      <c r="G39" s="316">
        <f t="shared" si="58"/>
        <v>227168</v>
      </c>
      <c r="H39" s="316">
        <f t="shared" si="58"/>
        <v>180390</v>
      </c>
      <c r="I39" s="316">
        <f t="shared" si="58"/>
        <v>167522</v>
      </c>
      <c r="J39" s="316">
        <f t="shared" si="58"/>
        <v>64302</v>
      </c>
      <c r="K39" s="316">
        <f t="shared" si="58"/>
        <v>16369</v>
      </c>
      <c r="L39" s="316">
        <f t="shared" si="58"/>
        <v>237129</v>
      </c>
      <c r="M39" s="316">
        <f t="shared" si="58"/>
        <v>219787</v>
      </c>
      <c r="N39" s="316">
        <f t="shared" si="58"/>
        <v>268754</v>
      </c>
      <c r="O39" s="316">
        <f t="shared" si="58"/>
        <v>240543</v>
      </c>
      <c r="P39" s="316">
        <f t="shared" si="58"/>
        <v>146345</v>
      </c>
      <c r="Q39" s="316">
        <f t="shared" si="58"/>
        <v>160835</v>
      </c>
      <c r="R39" s="316">
        <f t="shared" si="58"/>
        <v>255287</v>
      </c>
      <c r="S39" s="316">
        <f t="shared" si="58"/>
        <v>193293</v>
      </c>
      <c r="T39" s="316">
        <f t="shared" si="58"/>
        <v>119059</v>
      </c>
      <c r="U39" s="316">
        <f t="shared" si="58"/>
        <v>186735</v>
      </c>
      <c r="V39" s="316">
        <f t="shared" si="58"/>
        <v>178003</v>
      </c>
      <c r="W39" s="316">
        <f t="shared" si="58"/>
        <v>126312</v>
      </c>
      <c r="X39" s="316">
        <f t="shared" si="58"/>
        <v>110152</v>
      </c>
      <c r="Y39" s="316">
        <f t="shared" si="58"/>
        <v>164233</v>
      </c>
      <c r="Z39" s="316">
        <f t="shared" si="58"/>
        <v>150790</v>
      </c>
      <c r="AA39" s="316">
        <f t="shared" si="58"/>
        <v>149748</v>
      </c>
      <c r="AB39" s="316">
        <f t="shared" si="58"/>
        <v>110887</v>
      </c>
      <c r="AC39" s="316">
        <f t="shared" si="58"/>
        <v>149013</v>
      </c>
      <c r="AD39" s="316">
        <f t="shared" si="58"/>
        <v>131752</v>
      </c>
      <c r="AE39" s="316">
        <f t="shared" si="58"/>
        <v>109661</v>
      </c>
      <c r="AF39" s="316">
        <f t="shared" si="58"/>
        <v>102943</v>
      </c>
      <c r="AG39" s="316">
        <f t="shared" si="58"/>
        <v>89805</v>
      </c>
      <c r="AH39" s="316">
        <f t="shared" si="58"/>
        <v>-40767</v>
      </c>
      <c r="AI39" s="316">
        <f t="shared" si="58"/>
        <v>8938</v>
      </c>
      <c r="AJ39" s="316">
        <f t="shared" si="58"/>
        <v>3788</v>
      </c>
      <c r="AK39" s="316">
        <f t="shared" si="58"/>
        <v>16450</v>
      </c>
      <c r="AL39" s="316">
        <f t="shared" si="58"/>
        <v>21546</v>
      </c>
      <c r="AM39" s="316">
        <f t="shared" si="58"/>
        <v>98061</v>
      </c>
      <c r="AN39" s="316">
        <f t="shared" si="58"/>
        <v>81925</v>
      </c>
      <c r="AO39" s="316">
        <f t="shared" si="58"/>
        <v>116613</v>
      </c>
      <c r="AP39" s="316">
        <f t="shared" si="58"/>
        <v>101367</v>
      </c>
      <c r="AQ39" s="316">
        <f t="shared" si="58"/>
        <v>125839</v>
      </c>
      <c r="AR39" s="316">
        <f t="shared" si="58"/>
        <v>76221</v>
      </c>
      <c r="AS39" s="316">
        <f t="shared" si="58"/>
        <v>116371</v>
      </c>
      <c r="AT39" s="316">
        <f t="shared" si="58"/>
        <v>126173</v>
      </c>
      <c r="AU39" s="316">
        <f t="shared" si="58"/>
        <v>127982.70000000004</v>
      </c>
      <c r="AV39" s="316">
        <f t="shared" si="58"/>
        <v>108390</v>
      </c>
      <c r="AW39" s="316">
        <f t="shared" si="58"/>
        <v>124382</v>
      </c>
      <c r="AX39" s="316">
        <f t="shared" si="58"/>
        <v>105583</v>
      </c>
      <c r="AY39" s="316">
        <f t="shared" si="58"/>
        <v>120104</v>
      </c>
      <c r="AZ39" s="316">
        <f t="shared" si="58"/>
        <v>114504</v>
      </c>
      <c r="BA39" s="316">
        <f t="shared" si="58"/>
        <v>130247</v>
      </c>
    </row>
    <row r="40" spans="1:53" s="99" customFormat="1" ht="45" x14ac:dyDescent="0.25">
      <c r="A40" s="313" t="s">
        <v>450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:53" s="99" customFormat="1" x14ac:dyDescent="0.25">
      <c r="A41" s="313"/>
      <c r="B41" s="328"/>
      <c r="C41" s="328"/>
      <c r="D41" s="328"/>
      <c r="E41" s="32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3" s="99" customFormat="1" x14ac:dyDescent="0.25">
      <c r="A42" s="31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1:53" s="99" customFormat="1" x14ac:dyDescent="0.25">
      <c r="A43" s="31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3" s="99" customFormat="1" x14ac:dyDescent="0.25">
      <c r="A44" s="305" t="s">
        <v>148</v>
      </c>
      <c r="B44" s="290" t="str">
        <f>B2</f>
        <v>4T23</v>
      </c>
      <c r="C44" s="290" t="s">
        <v>407</v>
      </c>
      <c r="D44" s="290" t="s">
        <v>404</v>
      </c>
      <c r="E44" s="290" t="s">
        <v>140</v>
      </c>
      <c r="F44" s="290" t="s">
        <v>136</v>
      </c>
      <c r="G44" s="291" t="s">
        <v>133</v>
      </c>
      <c r="H44" s="291" t="s">
        <v>73</v>
      </c>
      <c r="I44" s="291" t="s">
        <v>72</v>
      </c>
      <c r="J44" s="291" t="s">
        <v>69</v>
      </c>
      <c r="K44" s="291" t="s">
        <v>70</v>
      </c>
      <c r="L44" s="291" t="s">
        <v>67</v>
      </c>
      <c r="M44" s="291" t="s">
        <v>66</v>
      </c>
      <c r="N44" s="291" t="s">
        <v>63</v>
      </c>
      <c r="O44" s="291" t="s">
        <v>61</v>
      </c>
      <c r="P44" s="291" t="s">
        <v>60</v>
      </c>
      <c r="Q44" s="291" t="s">
        <v>59</v>
      </c>
      <c r="R44" s="291" t="s">
        <v>58</v>
      </c>
      <c r="S44" s="291" t="s">
        <v>57</v>
      </c>
      <c r="T44" s="291" t="s">
        <v>56</v>
      </c>
      <c r="U44" s="291" t="s">
        <v>55</v>
      </c>
      <c r="V44" s="291" t="s">
        <v>31</v>
      </c>
      <c r="W44" s="291" t="s">
        <v>29</v>
      </c>
      <c r="X44" s="291" t="s">
        <v>22</v>
      </c>
      <c r="Y44" s="291" t="s">
        <v>13</v>
      </c>
      <c r="Z44" s="291" t="s">
        <v>14</v>
      </c>
      <c r="AA44" s="291" t="s">
        <v>15</v>
      </c>
      <c r="AB44" s="291" t="s">
        <v>16</v>
      </c>
      <c r="AC44" s="291" t="s">
        <v>11</v>
      </c>
      <c r="AD44" s="291" t="s">
        <v>17</v>
      </c>
      <c r="AE44" s="291" t="s">
        <v>18</v>
      </c>
      <c r="AF44" s="291" t="s">
        <v>19</v>
      </c>
      <c r="AG44" s="291" t="s">
        <v>3</v>
      </c>
      <c r="AH44" s="291" t="s">
        <v>90</v>
      </c>
      <c r="AI44" s="291" t="s">
        <v>91</v>
      </c>
      <c r="AJ44" s="291" t="s">
        <v>92</v>
      </c>
      <c r="AK44" s="291" t="s">
        <v>93</v>
      </c>
      <c r="AL44" s="291" t="s">
        <v>94</v>
      </c>
      <c r="AM44" s="291" t="s">
        <v>95</v>
      </c>
      <c r="AN44" s="291" t="s">
        <v>96</v>
      </c>
      <c r="AO44" s="291" t="s">
        <v>97</v>
      </c>
      <c r="AP44" s="291" t="s">
        <v>98</v>
      </c>
      <c r="AQ44" s="291" t="s">
        <v>99</v>
      </c>
      <c r="AR44" s="291" t="s">
        <v>100</v>
      </c>
      <c r="AS44" s="291" t="s">
        <v>101</v>
      </c>
      <c r="AT44" s="291" t="s">
        <v>102</v>
      </c>
      <c r="AU44" s="291" t="s">
        <v>103</v>
      </c>
      <c r="AV44" s="291" t="s">
        <v>104</v>
      </c>
      <c r="AW44" s="291" t="s">
        <v>105</v>
      </c>
      <c r="AX44" s="291" t="s">
        <v>106</v>
      </c>
      <c r="AY44" s="291" t="s">
        <v>107</v>
      </c>
      <c r="AZ44" s="291" t="s">
        <v>108</v>
      </c>
      <c r="BA44" s="291" t="s">
        <v>109</v>
      </c>
    </row>
    <row r="45" spans="1:53" s="99" customFormat="1" x14ac:dyDescent="0.25">
      <c r="A45" s="311" t="s">
        <v>149</v>
      </c>
      <c r="B45" s="322">
        <f>'[3]BD CSMG'!F207</f>
        <v>1157016</v>
      </c>
      <c r="C45" s="322">
        <v>1064283</v>
      </c>
      <c r="D45" s="322">
        <v>1035855</v>
      </c>
      <c r="E45" s="322">
        <v>1042113</v>
      </c>
      <c r="F45" s="322">
        <v>919643</v>
      </c>
      <c r="G45" s="322">
        <v>917073</v>
      </c>
      <c r="H45" s="322">
        <v>886976</v>
      </c>
      <c r="I45" s="322">
        <f>'[1]OPER_FIN 3P TRI'!$B$130+'[1]OPER_FIN 3P TRI'!$B$134</f>
        <v>838035</v>
      </c>
      <c r="J45" s="322">
        <v>853535</v>
      </c>
      <c r="K45" s="322">
        <v>860103</v>
      </c>
      <c r="L45" s="322">
        <f t="shared" ref="L45:M47" si="59">L5</f>
        <v>825426</v>
      </c>
      <c r="M45" s="322">
        <f t="shared" si="59"/>
        <v>816161</v>
      </c>
      <c r="N45" s="322">
        <v>855883</v>
      </c>
      <c r="O45" s="322">
        <v>816269</v>
      </c>
      <c r="P45" s="322">
        <v>752367</v>
      </c>
      <c r="Q45" s="322">
        <v>769225</v>
      </c>
      <c r="R45" s="322">
        <v>823112</v>
      </c>
      <c r="S45" s="322">
        <v>767331</v>
      </c>
      <c r="T45" s="322">
        <v>693209</v>
      </c>
      <c r="U45" s="322">
        <v>711384</v>
      </c>
      <c r="V45" s="171">
        <v>695064</v>
      </c>
      <c r="W45" s="322">
        <v>668381</v>
      </c>
      <c r="X45" s="171">
        <v>656973.01647000003</v>
      </c>
      <c r="Y45" s="171">
        <v>666428</v>
      </c>
      <c r="Z45" s="171">
        <v>680268</v>
      </c>
      <c r="AA45" s="171">
        <v>667504</v>
      </c>
      <c r="AB45" s="171">
        <v>601320</v>
      </c>
      <c r="AC45" s="171">
        <v>637248</v>
      </c>
      <c r="AD45" s="171">
        <v>616112</v>
      </c>
      <c r="AE45" s="171">
        <v>632376</v>
      </c>
      <c r="AF45" s="171">
        <v>578560</v>
      </c>
      <c r="AG45" s="171">
        <v>541096</v>
      </c>
      <c r="AH45" s="171">
        <v>565274</v>
      </c>
      <c r="AI45" s="171">
        <v>524334</v>
      </c>
      <c r="AJ45" s="171">
        <v>487203</v>
      </c>
      <c r="AK45" s="171">
        <v>485686</v>
      </c>
      <c r="AL45" s="171">
        <v>511700</v>
      </c>
      <c r="AM45" s="171">
        <v>516931</v>
      </c>
      <c r="AN45" s="171">
        <v>502681</v>
      </c>
      <c r="AO45" s="171">
        <v>521882</v>
      </c>
      <c r="AP45" s="171">
        <v>515416</v>
      </c>
      <c r="AQ45" s="171">
        <v>507451</v>
      </c>
      <c r="AR45" s="171">
        <v>475463</v>
      </c>
      <c r="AS45" s="171">
        <v>482342</v>
      </c>
      <c r="AT45" s="171">
        <v>489660</v>
      </c>
      <c r="AU45" s="171">
        <v>468981</v>
      </c>
      <c r="AV45" s="171">
        <v>441055</v>
      </c>
      <c r="AW45" s="171">
        <v>458671</v>
      </c>
      <c r="AX45" s="171">
        <v>445077</v>
      </c>
      <c r="AY45" s="171">
        <v>463992</v>
      </c>
      <c r="AZ45" s="171">
        <v>434337</v>
      </c>
      <c r="BA45" s="171">
        <v>440577</v>
      </c>
    </row>
    <row r="46" spans="1:53" s="99" customFormat="1" x14ac:dyDescent="0.25">
      <c r="A46" s="307" t="s">
        <v>150</v>
      </c>
      <c r="B46" s="323">
        <f>'[3]BD CSMG'!F208</f>
        <v>600816</v>
      </c>
      <c r="C46" s="323">
        <v>554590</v>
      </c>
      <c r="D46" s="323">
        <v>536025</v>
      </c>
      <c r="E46" s="323">
        <v>531514</v>
      </c>
      <c r="F46" s="323">
        <v>468460</v>
      </c>
      <c r="G46" s="323">
        <v>458624</v>
      </c>
      <c r="H46" s="323">
        <v>450354</v>
      </c>
      <c r="I46" s="323">
        <f>'[1]OPER_FIN 3P TRI'!$B$131+'[1]OPER_FIN 3P TRI'!$B$135</f>
        <v>430225</v>
      </c>
      <c r="J46" s="323">
        <v>434947</v>
      </c>
      <c r="K46" s="323">
        <v>446561</v>
      </c>
      <c r="L46" s="323">
        <f t="shared" si="59"/>
        <v>477371</v>
      </c>
      <c r="M46" s="323">
        <f t="shared" si="59"/>
        <v>465417</v>
      </c>
      <c r="N46" s="323">
        <v>488260</v>
      </c>
      <c r="O46" s="323">
        <v>458044</v>
      </c>
      <c r="P46" s="323">
        <v>432945</v>
      </c>
      <c r="Q46" s="323">
        <v>439994</v>
      </c>
      <c r="R46" s="323">
        <v>468447</v>
      </c>
      <c r="S46" s="323">
        <v>433944</v>
      </c>
      <c r="T46" s="323">
        <v>392568</v>
      </c>
      <c r="U46" s="323">
        <v>393226</v>
      </c>
      <c r="V46" s="326">
        <v>395325</v>
      </c>
      <c r="W46" s="323">
        <v>365302</v>
      </c>
      <c r="X46" s="326">
        <v>361771.52652000001</v>
      </c>
      <c r="Y46" s="326">
        <v>360444</v>
      </c>
      <c r="Z46" s="326">
        <v>374942</v>
      </c>
      <c r="AA46" s="326">
        <v>362604</v>
      </c>
      <c r="AB46" s="326">
        <v>332311</v>
      </c>
      <c r="AC46" s="326">
        <v>341410</v>
      </c>
      <c r="AD46" s="326">
        <v>332392</v>
      </c>
      <c r="AE46" s="326">
        <v>339850</v>
      </c>
      <c r="AF46" s="326">
        <v>313517</v>
      </c>
      <c r="AG46" s="326">
        <v>289715</v>
      </c>
      <c r="AH46" s="326">
        <v>298689</v>
      </c>
      <c r="AI46" s="326">
        <v>275649</v>
      </c>
      <c r="AJ46" s="326">
        <v>257905</v>
      </c>
      <c r="AK46" s="326">
        <v>249441</v>
      </c>
      <c r="AL46" s="326">
        <v>271996</v>
      </c>
      <c r="AM46" s="326">
        <v>273678</v>
      </c>
      <c r="AN46" s="326">
        <v>265909</v>
      </c>
      <c r="AO46" s="326">
        <v>267377</v>
      </c>
      <c r="AP46" s="326">
        <v>264966</v>
      </c>
      <c r="AQ46" s="326">
        <v>263112</v>
      </c>
      <c r="AR46" s="326">
        <v>250393</v>
      </c>
      <c r="AS46" s="326">
        <v>248594</v>
      </c>
      <c r="AT46" s="326">
        <v>253861</v>
      </c>
      <c r="AU46" s="326">
        <v>241736</v>
      </c>
      <c r="AV46" s="326">
        <v>213727</v>
      </c>
      <c r="AW46" s="326">
        <v>200675</v>
      </c>
      <c r="AX46" s="326">
        <v>192848</v>
      </c>
      <c r="AY46" s="326">
        <v>197760</v>
      </c>
      <c r="AZ46" s="326">
        <v>177346</v>
      </c>
      <c r="BA46" s="326">
        <v>157673</v>
      </c>
    </row>
    <row r="47" spans="1:53" s="99" customFormat="1" x14ac:dyDescent="0.25">
      <c r="A47" s="311" t="s">
        <v>20</v>
      </c>
      <c r="B47" s="322">
        <f>'[3]BD CSMG'!F209</f>
        <v>1231</v>
      </c>
      <c r="C47" s="322">
        <v>1163</v>
      </c>
      <c r="D47" s="322">
        <v>1554</v>
      </c>
      <c r="E47" s="322">
        <v>910</v>
      </c>
      <c r="F47" s="322">
        <v>656</v>
      </c>
      <c r="G47" s="322">
        <v>506</v>
      </c>
      <c r="H47" s="322">
        <v>344</v>
      </c>
      <c r="I47" s="322">
        <f>'[1]OPER_FIN 3P TRI'!$B$138</f>
        <v>593</v>
      </c>
      <c r="J47" s="322">
        <v>555</v>
      </c>
      <c r="K47" s="322">
        <v>537</v>
      </c>
      <c r="L47" s="322">
        <f t="shared" si="59"/>
        <v>563</v>
      </c>
      <c r="M47" s="322">
        <f t="shared" si="59"/>
        <v>610</v>
      </c>
      <c r="N47" s="322">
        <v>542</v>
      </c>
      <c r="O47" s="322">
        <v>519</v>
      </c>
      <c r="P47" s="322">
        <v>510</v>
      </c>
      <c r="Q47" s="322">
        <v>519</v>
      </c>
      <c r="R47" s="322">
        <v>466</v>
      </c>
      <c r="S47" s="322">
        <v>514</v>
      </c>
      <c r="T47" s="322">
        <v>541</v>
      </c>
      <c r="U47" s="322">
        <v>541</v>
      </c>
      <c r="V47" s="171">
        <v>521</v>
      </c>
      <c r="W47" s="322">
        <v>605</v>
      </c>
      <c r="X47" s="171">
        <v>621</v>
      </c>
      <c r="Y47" s="171">
        <v>676</v>
      </c>
      <c r="Z47" s="171">
        <v>399</v>
      </c>
      <c r="AA47" s="171" t="s">
        <v>0</v>
      </c>
      <c r="AB47" s="171" t="s">
        <v>0</v>
      </c>
      <c r="AC47" s="171" t="s">
        <v>0</v>
      </c>
      <c r="AD47" s="171" t="s">
        <v>0</v>
      </c>
      <c r="AE47" s="171" t="s">
        <v>0</v>
      </c>
      <c r="AF47" s="171" t="s">
        <v>0</v>
      </c>
      <c r="AG47" s="171" t="s">
        <v>0</v>
      </c>
      <c r="AH47" s="171" t="s">
        <v>0</v>
      </c>
      <c r="AI47" s="171" t="s">
        <v>0</v>
      </c>
      <c r="AJ47" s="171" t="s">
        <v>0</v>
      </c>
      <c r="AK47" s="171" t="s">
        <v>0</v>
      </c>
      <c r="AL47" s="171" t="s">
        <v>0</v>
      </c>
      <c r="AM47" s="171" t="s">
        <v>0</v>
      </c>
      <c r="AN47" s="171" t="s">
        <v>0</v>
      </c>
      <c r="AO47" s="171" t="s">
        <v>0</v>
      </c>
      <c r="AP47" s="171" t="s">
        <v>0</v>
      </c>
      <c r="AQ47" s="171" t="s">
        <v>0</v>
      </c>
      <c r="AR47" s="171" t="s">
        <v>0</v>
      </c>
      <c r="AS47" s="171" t="s">
        <v>0</v>
      </c>
      <c r="AT47" s="171" t="s">
        <v>0</v>
      </c>
      <c r="AU47" s="171" t="s">
        <v>0</v>
      </c>
      <c r="AV47" s="171" t="s">
        <v>0</v>
      </c>
      <c r="AW47" s="171" t="s">
        <v>0</v>
      </c>
      <c r="AX47" s="171" t="s">
        <v>0</v>
      </c>
      <c r="AY47" s="171" t="s">
        <v>0</v>
      </c>
      <c r="AZ47" s="171" t="s">
        <v>0</v>
      </c>
      <c r="BA47" s="171" t="s">
        <v>0</v>
      </c>
    </row>
    <row r="48" spans="1:53" s="99" customFormat="1" x14ac:dyDescent="0.25">
      <c r="A48" s="312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5"/>
      <c r="W48" s="324"/>
      <c r="X48" s="325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</row>
    <row r="49" spans="1:53" s="99" customFormat="1" x14ac:dyDescent="0.25">
      <c r="A49" s="18" t="s">
        <v>475</v>
      </c>
      <c r="B49" s="316">
        <f t="shared" ref="B49:D49" si="60">SUM(B45:B48)</f>
        <v>1759063</v>
      </c>
      <c r="C49" s="316">
        <f t="shared" si="60"/>
        <v>1620036</v>
      </c>
      <c r="D49" s="316">
        <f t="shared" si="60"/>
        <v>1573434</v>
      </c>
      <c r="E49" s="316">
        <f>SUM(E45:E48)</f>
        <v>1574537</v>
      </c>
      <c r="F49" s="316">
        <f>SUM(F45:F48)</f>
        <v>1388759</v>
      </c>
      <c r="G49" s="316">
        <f t="shared" ref="G49:L49" si="61">SUM(G45:G48)</f>
        <v>1376203</v>
      </c>
      <c r="H49" s="316">
        <f t="shared" si="61"/>
        <v>1337674</v>
      </c>
      <c r="I49" s="316">
        <f t="shared" si="61"/>
        <v>1268853</v>
      </c>
      <c r="J49" s="316">
        <f t="shared" si="61"/>
        <v>1289037</v>
      </c>
      <c r="K49" s="316">
        <f t="shared" si="61"/>
        <v>1307201</v>
      </c>
      <c r="L49" s="316">
        <f t="shared" si="61"/>
        <v>1303360</v>
      </c>
      <c r="M49" s="316">
        <f t="shared" ref="M49:BA49" si="62">SUM(M45:M48)</f>
        <v>1282188</v>
      </c>
      <c r="N49" s="316">
        <f t="shared" si="62"/>
        <v>1344685</v>
      </c>
      <c r="O49" s="316">
        <f t="shared" si="62"/>
        <v>1274832</v>
      </c>
      <c r="P49" s="316">
        <f t="shared" si="62"/>
        <v>1185822</v>
      </c>
      <c r="Q49" s="316">
        <f t="shared" si="62"/>
        <v>1209738</v>
      </c>
      <c r="R49" s="316">
        <f t="shared" si="62"/>
        <v>1292025</v>
      </c>
      <c r="S49" s="316">
        <f t="shared" si="62"/>
        <v>1201789</v>
      </c>
      <c r="T49" s="316">
        <f t="shared" si="62"/>
        <v>1086318</v>
      </c>
      <c r="U49" s="316">
        <f t="shared" si="62"/>
        <v>1105151</v>
      </c>
      <c r="V49" s="316">
        <f t="shared" si="62"/>
        <v>1090910</v>
      </c>
      <c r="W49" s="316">
        <f t="shared" si="62"/>
        <v>1034288</v>
      </c>
      <c r="X49" s="316">
        <f t="shared" si="62"/>
        <v>1019365.54299</v>
      </c>
      <c r="Y49" s="316">
        <f t="shared" si="62"/>
        <v>1027548</v>
      </c>
      <c r="Z49" s="316">
        <f t="shared" si="62"/>
        <v>1055609</v>
      </c>
      <c r="AA49" s="316">
        <f t="shared" si="62"/>
        <v>1030108</v>
      </c>
      <c r="AB49" s="316">
        <f t="shared" si="62"/>
        <v>933631</v>
      </c>
      <c r="AC49" s="316">
        <f t="shared" si="62"/>
        <v>978658</v>
      </c>
      <c r="AD49" s="316">
        <f t="shared" si="62"/>
        <v>948504</v>
      </c>
      <c r="AE49" s="316">
        <f t="shared" si="62"/>
        <v>972226</v>
      </c>
      <c r="AF49" s="316">
        <f t="shared" si="62"/>
        <v>892077</v>
      </c>
      <c r="AG49" s="316">
        <f t="shared" si="62"/>
        <v>830811</v>
      </c>
      <c r="AH49" s="316">
        <f t="shared" si="62"/>
        <v>863963</v>
      </c>
      <c r="AI49" s="316">
        <f t="shared" si="62"/>
        <v>799983</v>
      </c>
      <c r="AJ49" s="317">
        <f t="shared" si="62"/>
        <v>745108</v>
      </c>
      <c r="AK49" s="317">
        <f t="shared" si="62"/>
        <v>735127</v>
      </c>
      <c r="AL49" s="317">
        <f t="shared" si="62"/>
        <v>783696</v>
      </c>
      <c r="AM49" s="317">
        <f t="shared" si="62"/>
        <v>790609</v>
      </c>
      <c r="AN49" s="317">
        <f t="shared" si="62"/>
        <v>768590</v>
      </c>
      <c r="AO49" s="317">
        <f t="shared" si="62"/>
        <v>789259</v>
      </c>
      <c r="AP49" s="317">
        <f t="shared" si="62"/>
        <v>780382</v>
      </c>
      <c r="AQ49" s="317">
        <f t="shared" si="62"/>
        <v>770563</v>
      </c>
      <c r="AR49" s="317">
        <f t="shared" si="62"/>
        <v>725856</v>
      </c>
      <c r="AS49" s="317">
        <f t="shared" si="62"/>
        <v>730936</v>
      </c>
      <c r="AT49" s="317">
        <f t="shared" si="62"/>
        <v>743521</v>
      </c>
      <c r="AU49" s="317">
        <f t="shared" si="62"/>
        <v>710717</v>
      </c>
      <c r="AV49" s="317">
        <f t="shared" si="62"/>
        <v>654782</v>
      </c>
      <c r="AW49" s="317">
        <f t="shared" si="62"/>
        <v>659346</v>
      </c>
      <c r="AX49" s="317">
        <f t="shared" si="62"/>
        <v>637925</v>
      </c>
      <c r="AY49" s="317">
        <f t="shared" si="62"/>
        <v>661752</v>
      </c>
      <c r="AZ49" s="317">
        <f t="shared" si="62"/>
        <v>611683</v>
      </c>
      <c r="BA49" s="317">
        <f t="shared" si="62"/>
        <v>598250</v>
      </c>
    </row>
    <row r="50" spans="1:53" s="99" customFormat="1" x14ac:dyDescent="0.25">
      <c r="A50" s="23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19"/>
      <c r="W50" s="320"/>
      <c r="X50" s="319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</row>
    <row r="51" spans="1:53" s="99" customFormat="1" x14ac:dyDescent="0.25">
      <c r="A51" s="311" t="s">
        <v>35</v>
      </c>
      <c r="B51" s="322">
        <f>B8</f>
        <v>212064</v>
      </c>
      <c r="C51" s="322">
        <v>239081</v>
      </c>
      <c r="D51" s="322">
        <v>209551</v>
      </c>
      <c r="E51" s="322">
        <v>137949</v>
      </c>
      <c r="F51" s="322">
        <v>180637</v>
      </c>
      <c r="G51" s="322">
        <v>225910</v>
      </c>
      <c r="H51" s="322">
        <v>182989</v>
      </c>
      <c r="I51" s="322">
        <f>'[1]OPER_FIN 3P TRI'!$B$261</f>
        <v>151498</v>
      </c>
      <c r="J51" s="322">
        <v>243090</v>
      </c>
      <c r="K51" s="322">
        <v>187533</v>
      </c>
      <c r="L51" s="322">
        <f>L8</f>
        <v>133647</v>
      </c>
      <c r="M51" s="322">
        <f>M8</f>
        <v>84138</v>
      </c>
      <c r="N51" s="322">
        <v>85154</v>
      </c>
      <c r="O51" s="322">
        <v>71331</v>
      </c>
      <c r="P51" s="322">
        <v>59816</v>
      </c>
      <c r="Q51" s="322">
        <v>57565</v>
      </c>
      <c r="R51" s="322">
        <f>R8</f>
        <v>93914</v>
      </c>
      <c r="S51" s="322">
        <f>S8</f>
        <v>115847</v>
      </c>
      <c r="T51" s="322">
        <v>106607</v>
      </c>
      <c r="U51" s="322">
        <v>91711</v>
      </c>
      <c r="V51" s="171">
        <v>136071</v>
      </c>
      <c r="W51" s="322">
        <v>133467</v>
      </c>
      <c r="X51" s="171">
        <v>130600</v>
      </c>
      <c r="Y51" s="171">
        <v>96753</v>
      </c>
      <c r="Z51" s="171">
        <v>112147</v>
      </c>
      <c r="AA51" s="171">
        <v>73024</v>
      </c>
      <c r="AB51" s="171">
        <v>55417</v>
      </c>
      <c r="AC51" s="171">
        <v>62075</v>
      </c>
      <c r="AD51" s="171">
        <v>48858</v>
      </c>
      <c r="AE51" s="171">
        <v>65941</v>
      </c>
      <c r="AF51" s="171">
        <v>73135</v>
      </c>
      <c r="AG51" s="171">
        <v>176733</v>
      </c>
      <c r="AH51" s="171">
        <v>134372</v>
      </c>
      <c r="AI51" s="171">
        <v>193582</v>
      </c>
      <c r="AJ51" s="171">
        <v>174217</v>
      </c>
      <c r="AK51" s="171">
        <v>164361</v>
      </c>
      <c r="AL51" s="171">
        <v>241644</v>
      </c>
      <c r="AM51" s="171">
        <v>377197</v>
      </c>
      <c r="AN51" s="171">
        <v>200305</v>
      </c>
      <c r="AO51" s="171">
        <v>159156</v>
      </c>
      <c r="AP51" s="171">
        <v>193638</v>
      </c>
      <c r="AQ51" s="171">
        <v>199464</v>
      </c>
      <c r="AR51" s="171">
        <v>187467</v>
      </c>
      <c r="AS51" s="171">
        <v>126513</v>
      </c>
      <c r="AT51" s="171">
        <v>244595</v>
      </c>
      <c r="AU51" s="171">
        <v>158757</v>
      </c>
      <c r="AV51" s="171">
        <v>174089</v>
      </c>
      <c r="AW51" s="171">
        <v>154135</v>
      </c>
      <c r="AX51" s="171">
        <v>193830</v>
      </c>
      <c r="AY51" s="171">
        <v>162501</v>
      </c>
      <c r="AZ51" s="171">
        <v>167036</v>
      </c>
      <c r="BA51" s="171">
        <v>177889</v>
      </c>
    </row>
    <row r="52" spans="1:53" s="99" customFormat="1" x14ac:dyDescent="0.25">
      <c r="A52" s="309" t="s">
        <v>36</v>
      </c>
      <c r="B52" s="323">
        <f>B13</f>
        <v>-212064</v>
      </c>
      <c r="C52" s="323">
        <v>-239081</v>
      </c>
      <c r="D52" s="323">
        <v>-209551</v>
      </c>
      <c r="E52" s="323">
        <v>-137949</v>
      </c>
      <c r="F52" s="323">
        <v>-180637</v>
      </c>
      <c r="G52" s="323">
        <v>-225910</v>
      </c>
      <c r="H52" s="323">
        <v>-182989</v>
      </c>
      <c r="I52" s="323">
        <f>'[1]OPER_FIN 3P TRI'!$B$266</f>
        <v>-151498</v>
      </c>
      <c r="J52" s="323">
        <v>-243090</v>
      </c>
      <c r="K52" s="323">
        <f>-K51</f>
        <v>-187533</v>
      </c>
      <c r="L52" s="323">
        <f>L13</f>
        <v>-133647</v>
      </c>
      <c r="M52" s="323">
        <f>M13</f>
        <v>-84138</v>
      </c>
      <c r="N52" s="323">
        <v>-85154</v>
      </c>
      <c r="O52" s="323">
        <v>-71331</v>
      </c>
      <c r="P52" s="323">
        <v>-59816</v>
      </c>
      <c r="Q52" s="323">
        <v>-57565</v>
      </c>
      <c r="R52" s="323">
        <f>R13</f>
        <v>-93914</v>
      </c>
      <c r="S52" s="323">
        <f>S13</f>
        <v>-115847</v>
      </c>
      <c r="T52" s="323">
        <v>-106607</v>
      </c>
      <c r="U52" s="323">
        <v>-91711</v>
      </c>
      <c r="V52" s="326">
        <v>-136071</v>
      </c>
      <c r="W52" s="323">
        <v>-133467</v>
      </c>
      <c r="X52" s="326">
        <v>-130600</v>
      </c>
      <c r="Y52" s="326">
        <v>-96753</v>
      </c>
      <c r="Z52" s="326">
        <v>-112147</v>
      </c>
      <c r="AA52" s="326">
        <v>-73024</v>
      </c>
      <c r="AB52" s="326">
        <v>-55417</v>
      </c>
      <c r="AC52" s="326">
        <v>-62075</v>
      </c>
      <c r="AD52" s="326">
        <v>-48858</v>
      </c>
      <c r="AE52" s="326">
        <v>-65941</v>
      </c>
      <c r="AF52" s="326">
        <v>-73136</v>
      </c>
      <c r="AG52" s="326">
        <v>-176733</v>
      </c>
      <c r="AH52" s="326">
        <v>-134372</v>
      </c>
      <c r="AI52" s="326">
        <v>-193582</v>
      </c>
      <c r="AJ52" s="326">
        <v>-171985</v>
      </c>
      <c r="AK52" s="326">
        <v>-161865</v>
      </c>
      <c r="AL52" s="326">
        <v>-237981</v>
      </c>
      <c r="AM52" s="326">
        <v>-373220</v>
      </c>
      <c r="AN52" s="326">
        <v>-196121</v>
      </c>
      <c r="AO52" s="326">
        <v>-154384</v>
      </c>
      <c r="AP52" s="326">
        <v>-189627</v>
      </c>
      <c r="AQ52" s="326">
        <v>-195047</v>
      </c>
      <c r="AR52" s="326">
        <v>-183281</v>
      </c>
      <c r="AS52" s="326">
        <v>-122618</v>
      </c>
      <c r="AT52" s="326">
        <v>-237283</v>
      </c>
      <c r="AU52" s="326">
        <v>-155219</v>
      </c>
      <c r="AV52" s="326">
        <v>-171187</v>
      </c>
      <c r="AW52" s="326">
        <v>-152807</v>
      </c>
      <c r="AX52" s="326">
        <v>-189972</v>
      </c>
      <c r="AY52" s="326">
        <v>-159182</v>
      </c>
      <c r="AZ52" s="326">
        <v>-163227</v>
      </c>
      <c r="BA52" s="326">
        <v>-174920</v>
      </c>
    </row>
    <row r="53" spans="1:53" s="99" customFormat="1" x14ac:dyDescent="0.25">
      <c r="A53" s="3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W53" s="16"/>
      <c r="X53" s="17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</row>
    <row r="54" spans="1:53" s="99" customFormat="1" x14ac:dyDescent="0.25">
      <c r="A54" s="18" t="s">
        <v>151</v>
      </c>
      <c r="B54" s="316">
        <v>0</v>
      </c>
      <c r="C54" s="316">
        <v>0</v>
      </c>
      <c r="D54" s="316">
        <v>0</v>
      </c>
      <c r="E54" s="316">
        <v>0</v>
      </c>
      <c r="F54" s="316">
        <v>0</v>
      </c>
      <c r="G54" s="316"/>
      <c r="H54" s="316">
        <f t="shared" ref="H54:P54" si="63">H51+H52</f>
        <v>0</v>
      </c>
      <c r="I54" s="316">
        <f t="shared" si="63"/>
        <v>0</v>
      </c>
      <c r="J54" s="316">
        <v>0</v>
      </c>
      <c r="K54" s="316">
        <f t="shared" si="63"/>
        <v>0</v>
      </c>
      <c r="L54" s="316">
        <f t="shared" si="63"/>
        <v>0</v>
      </c>
      <c r="M54" s="316">
        <f t="shared" si="63"/>
        <v>0</v>
      </c>
      <c r="N54" s="316">
        <f t="shared" si="63"/>
        <v>0</v>
      </c>
      <c r="O54" s="316">
        <f t="shared" si="63"/>
        <v>0</v>
      </c>
      <c r="P54" s="316">
        <f t="shared" si="63"/>
        <v>0</v>
      </c>
      <c r="Q54" s="316">
        <f>SUM(Q51:Q53)</f>
        <v>0</v>
      </c>
      <c r="R54" s="316">
        <f>SUM(R51:R53)</f>
        <v>0</v>
      </c>
      <c r="S54" s="316">
        <f>SUM(S51:S53)</f>
        <v>0</v>
      </c>
      <c r="T54" s="316">
        <v>0</v>
      </c>
      <c r="U54" s="316">
        <v>0</v>
      </c>
      <c r="V54" s="316">
        <v>0</v>
      </c>
      <c r="W54" s="316">
        <v>0</v>
      </c>
      <c r="X54" s="316">
        <v>0</v>
      </c>
      <c r="Y54" s="316">
        <v>0</v>
      </c>
      <c r="Z54" s="316">
        <v>0</v>
      </c>
      <c r="AA54" s="316">
        <v>0</v>
      </c>
      <c r="AB54" s="316">
        <v>0</v>
      </c>
      <c r="AC54" s="316">
        <v>0</v>
      </c>
      <c r="AD54" s="316">
        <v>0</v>
      </c>
      <c r="AE54" s="316">
        <v>0</v>
      </c>
      <c r="AF54" s="316">
        <v>0</v>
      </c>
      <c r="AG54" s="316">
        <v>0</v>
      </c>
      <c r="AH54" s="316">
        <v>0</v>
      </c>
      <c r="AI54" s="316">
        <v>0</v>
      </c>
      <c r="AJ54" s="317">
        <v>2232</v>
      </c>
      <c r="AK54" s="317">
        <v>2496</v>
      </c>
      <c r="AL54" s="317">
        <v>3662</v>
      </c>
      <c r="AM54" s="317">
        <v>3977</v>
      </c>
      <c r="AN54" s="317">
        <v>4185</v>
      </c>
      <c r="AO54" s="317">
        <v>4772</v>
      </c>
      <c r="AP54" s="317">
        <v>4011</v>
      </c>
      <c r="AQ54" s="317">
        <v>4417</v>
      </c>
      <c r="AR54" s="317">
        <v>4186</v>
      </c>
      <c r="AS54" s="317">
        <v>3895</v>
      </c>
      <c r="AT54" s="317">
        <v>7312</v>
      </c>
      <c r="AU54" s="317">
        <v>3538</v>
      </c>
      <c r="AV54" s="317">
        <v>2902</v>
      </c>
      <c r="AW54" s="317">
        <v>1328</v>
      </c>
      <c r="AX54" s="317">
        <v>3858</v>
      </c>
      <c r="AY54" s="317">
        <v>3319</v>
      </c>
      <c r="AZ54" s="317">
        <v>3809</v>
      </c>
      <c r="BA54" s="317">
        <v>2969</v>
      </c>
    </row>
    <row r="55" spans="1:53" s="99" customFormat="1" x14ac:dyDescent="0.25">
      <c r="A55" s="312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5"/>
      <c r="W55" s="324"/>
      <c r="X55" s="325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</row>
    <row r="56" spans="1:53" s="99" customFormat="1" ht="30" x14ac:dyDescent="0.25">
      <c r="A56" s="18" t="s">
        <v>476</v>
      </c>
      <c r="B56" s="316">
        <f>SUM(B57:B66)</f>
        <v>-1180205</v>
      </c>
      <c r="C56" s="316">
        <f t="shared" ref="C56:BA56" si="64">SUM(C57:C66)</f>
        <v>-1141535</v>
      </c>
      <c r="D56" s="316">
        <f t="shared" si="64"/>
        <v>-1218160</v>
      </c>
      <c r="E56" s="316">
        <f t="shared" si="64"/>
        <v>-1054034.1000000001</v>
      </c>
      <c r="F56" s="316">
        <f t="shared" si="64"/>
        <v>-1058886</v>
      </c>
      <c r="G56" s="316">
        <f t="shared" si="64"/>
        <v>-1014229</v>
      </c>
      <c r="H56" s="316">
        <f t="shared" si="64"/>
        <v>-1002164</v>
      </c>
      <c r="I56" s="316">
        <f t="shared" si="64"/>
        <v>-1011239</v>
      </c>
      <c r="J56" s="316">
        <f t="shared" si="64"/>
        <v>-1102415</v>
      </c>
      <c r="K56" s="316">
        <f t="shared" si="64"/>
        <v>-1136722</v>
      </c>
      <c r="L56" s="316">
        <f t="shared" si="64"/>
        <v>-956683</v>
      </c>
      <c r="M56" s="316">
        <f t="shared" si="64"/>
        <v>-904993</v>
      </c>
      <c r="N56" s="316">
        <f t="shared" si="64"/>
        <v>-958864</v>
      </c>
      <c r="O56" s="316">
        <f t="shared" si="64"/>
        <v>-922828</v>
      </c>
      <c r="P56" s="316">
        <f t="shared" si="64"/>
        <v>-946311</v>
      </c>
      <c r="Q56" s="316">
        <f t="shared" si="64"/>
        <v>-867320</v>
      </c>
      <c r="R56" s="316">
        <f t="shared" si="64"/>
        <v>-898460</v>
      </c>
      <c r="S56" s="316">
        <f t="shared" si="64"/>
        <v>-851381</v>
      </c>
      <c r="T56" s="316">
        <f t="shared" si="64"/>
        <v>-824073</v>
      </c>
      <c r="U56" s="316">
        <f t="shared" si="64"/>
        <v>-797596</v>
      </c>
      <c r="V56" s="316">
        <f t="shared" si="64"/>
        <v>-822785.10000000009</v>
      </c>
      <c r="W56" s="316">
        <f t="shared" si="64"/>
        <v>-863687</v>
      </c>
      <c r="X56" s="316">
        <f t="shared" si="64"/>
        <v>-807217.74008999998</v>
      </c>
      <c r="Y56" s="316">
        <f t="shared" si="64"/>
        <v>-761455</v>
      </c>
      <c r="Z56" s="316">
        <f t="shared" si="64"/>
        <v>-807187</v>
      </c>
      <c r="AA56" s="316">
        <f t="shared" si="64"/>
        <v>-757990</v>
      </c>
      <c r="AB56" s="316">
        <f t="shared" si="64"/>
        <v>-739746</v>
      </c>
      <c r="AC56" s="316">
        <f t="shared" si="64"/>
        <v>-712456</v>
      </c>
      <c r="AD56" s="316">
        <f t="shared" si="64"/>
        <v>-727115</v>
      </c>
      <c r="AE56" s="316">
        <f t="shared" si="64"/>
        <v>-707870</v>
      </c>
      <c r="AF56" s="316">
        <f t="shared" si="64"/>
        <v>-693975</v>
      </c>
      <c r="AG56" s="316">
        <f t="shared" si="64"/>
        <v>-659405</v>
      </c>
      <c r="AH56" s="316">
        <f t="shared" si="64"/>
        <v>-853222</v>
      </c>
      <c r="AI56" s="316">
        <f t="shared" si="64"/>
        <v>-665932</v>
      </c>
      <c r="AJ56" s="316">
        <f t="shared" si="64"/>
        <v>-695105</v>
      </c>
      <c r="AK56" s="316">
        <f t="shared" si="64"/>
        <v>-634321</v>
      </c>
      <c r="AL56" s="316">
        <f t="shared" si="64"/>
        <v>-648985</v>
      </c>
      <c r="AM56" s="316">
        <f t="shared" si="64"/>
        <v>-610232</v>
      </c>
      <c r="AN56" s="316">
        <f t="shared" si="64"/>
        <v>-608257</v>
      </c>
      <c r="AO56" s="316">
        <f t="shared" si="64"/>
        <v>-583182</v>
      </c>
      <c r="AP56" s="316">
        <f t="shared" si="64"/>
        <v>-607800</v>
      </c>
      <c r="AQ56" s="316">
        <f t="shared" si="64"/>
        <v>-596079</v>
      </c>
      <c r="AR56" s="316">
        <f t="shared" si="64"/>
        <v>-561986</v>
      </c>
      <c r="AS56" s="316">
        <f t="shared" si="64"/>
        <v>-520621</v>
      </c>
      <c r="AT56" s="316">
        <f t="shared" si="64"/>
        <v>-542817</v>
      </c>
      <c r="AU56" s="316">
        <f t="shared" si="64"/>
        <v>-511107.68879999995</v>
      </c>
      <c r="AV56" s="316">
        <f t="shared" si="64"/>
        <v>-483652</v>
      </c>
      <c r="AW56" s="316">
        <f t="shared" si="64"/>
        <v>-467952</v>
      </c>
      <c r="AX56" s="316">
        <f t="shared" si="64"/>
        <v>-475394</v>
      </c>
      <c r="AY56" s="316">
        <f t="shared" si="64"/>
        <v>-460714</v>
      </c>
      <c r="AZ56" s="316">
        <f t="shared" si="64"/>
        <v>-421808</v>
      </c>
      <c r="BA56" s="316">
        <f t="shared" si="64"/>
        <v>-396387</v>
      </c>
    </row>
    <row r="57" spans="1:53" s="99" customFormat="1" x14ac:dyDescent="0.25">
      <c r="A57" s="307" t="s">
        <v>4</v>
      </c>
      <c r="B57" s="323">
        <v>-436328</v>
      </c>
      <c r="C57" s="323">
        <v>-408895</v>
      </c>
      <c r="D57" s="323">
        <v>-514871</v>
      </c>
      <c r="E57" s="323">
        <v>-386441.3</v>
      </c>
      <c r="F57" s="323">
        <v>-394660</v>
      </c>
      <c r="G57" s="323">
        <v>-357590</v>
      </c>
      <c r="H57" s="323">
        <v>-368811</v>
      </c>
      <c r="I57" s="323">
        <v>-374401</v>
      </c>
      <c r="J57" s="323">
        <v>-375417</v>
      </c>
      <c r="K57" s="323">
        <v>-529057</v>
      </c>
      <c r="L57" s="323">
        <v>-382631</v>
      </c>
      <c r="M57" s="323">
        <v>-357274</v>
      </c>
      <c r="N57" s="323">
        <v>-363830</v>
      </c>
      <c r="O57" s="323">
        <v>-351081</v>
      </c>
      <c r="P57" s="323">
        <v>-350965</v>
      </c>
      <c r="Q57" s="323">
        <v>-347596</v>
      </c>
      <c r="R57" s="323">
        <v>-361371</v>
      </c>
      <c r="S57" s="323">
        <v>-337631</v>
      </c>
      <c r="T57" s="323">
        <v>-336429</v>
      </c>
      <c r="U57" s="323">
        <v>-314496</v>
      </c>
      <c r="V57" s="323">
        <v>-329645</v>
      </c>
      <c r="W57" s="323">
        <v>-336534</v>
      </c>
      <c r="X57" s="323">
        <v>-324232</v>
      </c>
      <c r="Y57" s="323">
        <v>-312823</v>
      </c>
      <c r="Z57" s="323">
        <v>-323002</v>
      </c>
      <c r="AA57" s="323">
        <v>-306875</v>
      </c>
      <c r="AB57" s="323">
        <v>-311225</v>
      </c>
      <c r="AC57" s="323">
        <v>-286448</v>
      </c>
      <c r="AD57" s="323">
        <v>-293929</v>
      </c>
      <c r="AE57" s="323">
        <v>-281529</v>
      </c>
      <c r="AF57" s="323">
        <v>-286290</v>
      </c>
      <c r="AG57" s="323">
        <v>-266440</v>
      </c>
      <c r="AH57" s="323">
        <v>-450866</v>
      </c>
      <c r="AI57" s="323">
        <v>-289888</v>
      </c>
      <c r="AJ57" s="323">
        <v>-304359</v>
      </c>
      <c r="AK57" s="323">
        <v>-293241</v>
      </c>
      <c r="AL57" s="323">
        <v>-283582</v>
      </c>
      <c r="AM57" s="323">
        <v>-271785</v>
      </c>
      <c r="AN57" s="323">
        <v>-268693</v>
      </c>
      <c r="AO57" s="323">
        <v>-261698</v>
      </c>
      <c r="AP57" s="323">
        <v>-267503</v>
      </c>
      <c r="AQ57" s="323">
        <v>-266014</v>
      </c>
      <c r="AR57" s="323">
        <v>-247672</v>
      </c>
      <c r="AS57" s="323">
        <v>-230175</v>
      </c>
      <c r="AT57" s="323">
        <v>-242020</v>
      </c>
      <c r="AU57" s="323">
        <v>-223830.88879999999</v>
      </c>
      <c r="AV57" s="323">
        <v>-224447</v>
      </c>
      <c r="AW57" s="323">
        <v>-213704</v>
      </c>
      <c r="AX57" s="323">
        <v>-222033</v>
      </c>
      <c r="AY57" s="323">
        <v>-219557</v>
      </c>
      <c r="AZ57" s="323">
        <v>-197786</v>
      </c>
      <c r="BA57" s="323">
        <v>-182570</v>
      </c>
    </row>
    <row r="58" spans="1:53" s="99" customFormat="1" x14ac:dyDescent="0.25">
      <c r="A58" s="311" t="s">
        <v>152</v>
      </c>
      <c r="B58" s="329">
        <v>-196581</v>
      </c>
      <c r="C58" s="329">
        <v>-193007</v>
      </c>
      <c r="D58" s="329">
        <v>-204646</v>
      </c>
      <c r="E58" s="329">
        <v>-184191</v>
      </c>
      <c r="F58" s="329">
        <v>-184399</v>
      </c>
      <c r="G58" s="329">
        <v>-178805</v>
      </c>
      <c r="H58" s="329">
        <v>-175581</v>
      </c>
      <c r="I58" s="329">
        <f>-'[1]OPER_FIN 3P TRI'!$B$167</f>
        <v>-182346</v>
      </c>
      <c r="J58" s="329">
        <v>-234300</v>
      </c>
      <c r="K58" s="329">
        <f>-'[2]OPER_FIN 3P TRI'!$B$159</f>
        <v>-170822</v>
      </c>
      <c r="L58" s="329">
        <v>-169774</v>
      </c>
      <c r="M58" s="329">
        <v>-166560</v>
      </c>
      <c r="N58" s="329">
        <v>-164342</v>
      </c>
      <c r="O58" s="329">
        <v>-158990</v>
      </c>
      <c r="P58" s="329">
        <v>-159475</v>
      </c>
      <c r="Q58" s="329">
        <v>-158984</v>
      </c>
      <c r="R58" s="329">
        <v>-153929</v>
      </c>
      <c r="S58" s="329">
        <v>-153180</v>
      </c>
      <c r="T58" s="329">
        <v>-148408</v>
      </c>
      <c r="U58" s="329">
        <v>-145096</v>
      </c>
      <c r="V58" s="330">
        <v>-143636</v>
      </c>
      <c r="W58" s="329">
        <v>-141292</v>
      </c>
      <c r="X58" s="330">
        <v>-141315.74009000001</v>
      </c>
      <c r="Y58" s="171">
        <v>-141744</v>
      </c>
      <c r="Z58" s="171">
        <v>-141477</v>
      </c>
      <c r="AA58" s="171">
        <v>-141252</v>
      </c>
      <c r="AB58" s="171">
        <v>-139422</v>
      </c>
      <c r="AC58" s="171">
        <v>-141845</v>
      </c>
      <c r="AD58" s="171">
        <v>-155588</v>
      </c>
      <c r="AE58" s="171">
        <v>-148098</v>
      </c>
      <c r="AF58" s="171">
        <v>-146960</v>
      </c>
      <c r="AG58" s="171">
        <v>-146099</v>
      </c>
      <c r="AH58" s="171">
        <v>-140940</v>
      </c>
      <c r="AI58" s="171">
        <v>-138567</v>
      </c>
      <c r="AJ58" s="171">
        <v>-135206</v>
      </c>
      <c r="AK58" s="171">
        <v>-133880</v>
      </c>
      <c r="AL58" s="171">
        <v>-130207</v>
      </c>
      <c r="AM58" s="171">
        <v>-122520</v>
      </c>
      <c r="AN58" s="171">
        <v>-119009</v>
      </c>
      <c r="AO58" s="171">
        <v>-113869</v>
      </c>
      <c r="AP58" s="171">
        <v>-112566</v>
      </c>
      <c r="AQ58" s="171">
        <v>-111924</v>
      </c>
      <c r="AR58" s="171">
        <v>-103801</v>
      </c>
      <c r="AS58" s="171">
        <v>-99743</v>
      </c>
      <c r="AT58" s="171">
        <v>-99308</v>
      </c>
      <c r="AU58" s="171">
        <v>-97613</v>
      </c>
      <c r="AV58" s="171">
        <v>-88493</v>
      </c>
      <c r="AW58" s="171">
        <v>-86904</v>
      </c>
      <c r="AX58" s="171">
        <v>-82131</v>
      </c>
      <c r="AY58" s="171">
        <v>-75396</v>
      </c>
      <c r="AZ58" s="171">
        <v>-70484</v>
      </c>
      <c r="BA58" s="171">
        <v>-76486</v>
      </c>
    </row>
    <row r="59" spans="1:53" s="99" customFormat="1" x14ac:dyDescent="0.25">
      <c r="A59" s="307" t="s">
        <v>24</v>
      </c>
      <c r="B59" s="323">
        <v>-159418</v>
      </c>
      <c r="C59" s="323">
        <v>-156625</v>
      </c>
      <c r="D59" s="323">
        <v>-135533</v>
      </c>
      <c r="E59" s="323">
        <v>-127390.2</v>
      </c>
      <c r="F59" s="323">
        <v>-116857</v>
      </c>
      <c r="G59" s="323">
        <v>-122488</v>
      </c>
      <c r="H59" s="323">
        <v>-134653</v>
      </c>
      <c r="I59" s="323">
        <f>-'[1]OPER_FIN 3P TRI'!$B$161</f>
        <v>-149236</v>
      </c>
      <c r="J59" s="323">
        <v>-159157</v>
      </c>
      <c r="K59" s="323">
        <f>-'[2]OPER_FIN 3P TRI'!$B$153</f>
        <v>-152551</v>
      </c>
      <c r="L59" s="323">
        <v>-124793</v>
      </c>
      <c r="M59" s="323">
        <v>-123863</v>
      </c>
      <c r="N59" s="323">
        <v>-123315</v>
      </c>
      <c r="O59" s="323">
        <v>-114723</v>
      </c>
      <c r="P59" s="323">
        <v>-105227</v>
      </c>
      <c r="Q59" s="323">
        <v>-109023</v>
      </c>
      <c r="R59" s="323">
        <v>-123943</v>
      </c>
      <c r="S59" s="323">
        <v>-131500</v>
      </c>
      <c r="T59" s="323">
        <v>-106341</v>
      </c>
      <c r="U59" s="323">
        <v>-114415</v>
      </c>
      <c r="V59" s="326">
        <v>-120219.8</v>
      </c>
      <c r="W59" s="323">
        <v>-128645</v>
      </c>
      <c r="X59" s="326">
        <v>-93722</v>
      </c>
      <c r="Y59" s="326">
        <v>-80857</v>
      </c>
      <c r="Z59" s="326">
        <v>-111428</v>
      </c>
      <c r="AA59" s="326">
        <v>-96624</v>
      </c>
      <c r="AB59" s="326">
        <v>-95435</v>
      </c>
      <c r="AC59" s="326">
        <v>-92330</v>
      </c>
      <c r="AD59" s="326">
        <v>-101672</v>
      </c>
      <c r="AE59" s="326">
        <v>-94920</v>
      </c>
      <c r="AF59" s="326">
        <v>-87013</v>
      </c>
      <c r="AG59" s="326">
        <v>-91314</v>
      </c>
      <c r="AH59" s="326">
        <v>-108168</v>
      </c>
      <c r="AI59" s="326">
        <v>-103365</v>
      </c>
      <c r="AJ59" s="326">
        <v>-97654</v>
      </c>
      <c r="AK59" s="326">
        <v>-69218</v>
      </c>
      <c r="AL59" s="326">
        <v>-69727</v>
      </c>
      <c r="AM59" s="326">
        <v>-63982</v>
      </c>
      <c r="AN59" s="326">
        <v>-63451</v>
      </c>
      <c r="AO59" s="326">
        <v>-61596</v>
      </c>
      <c r="AP59" s="326">
        <v>-57483</v>
      </c>
      <c r="AQ59" s="326">
        <v>-57210</v>
      </c>
      <c r="AR59" s="326">
        <v>-53430</v>
      </c>
      <c r="AS59" s="326">
        <v>-52438</v>
      </c>
      <c r="AT59" s="326">
        <v>-66256</v>
      </c>
      <c r="AU59" s="326">
        <v>-61390.7</v>
      </c>
      <c r="AV59" s="326">
        <v>-58057</v>
      </c>
      <c r="AW59" s="326">
        <v>-55354</v>
      </c>
      <c r="AX59" s="326">
        <v>-59203</v>
      </c>
      <c r="AY59" s="326">
        <v>-60175</v>
      </c>
      <c r="AZ59" s="326">
        <v>-53214</v>
      </c>
      <c r="BA59" s="326">
        <v>-49408</v>
      </c>
    </row>
    <row r="60" spans="1:53" s="99" customFormat="1" x14ac:dyDescent="0.25">
      <c r="A60" s="311" t="s">
        <v>477</v>
      </c>
      <c r="B60" s="329">
        <v>-187041</v>
      </c>
      <c r="C60" s="329">
        <v>-187273</v>
      </c>
      <c r="D60" s="329">
        <v>-169762</v>
      </c>
      <c r="E60" s="329">
        <v>-169505</v>
      </c>
      <c r="F60" s="329">
        <v>-162600</v>
      </c>
      <c r="G60" s="329">
        <v>-168092</v>
      </c>
      <c r="H60" s="329">
        <v>-159548</v>
      </c>
      <c r="I60" s="329">
        <f>-'[1]OPER_FIN 3P TRI'!$B$154-'[1]OPER_FIN 3P TRI'!$B$162</f>
        <v>-132516</v>
      </c>
      <c r="J60" s="329">
        <v>-137229</v>
      </c>
      <c r="K60" s="329">
        <f>-('[2]OPER_FIN 3P TRI'!$B$146+'[2]OPER_FIN 3P TRI'!$B$154)</f>
        <v>-123531</v>
      </c>
      <c r="L60" s="329">
        <v>-120872</v>
      </c>
      <c r="M60" s="329">
        <v>-106638</v>
      </c>
      <c r="N60" s="329">
        <v>-111447</v>
      </c>
      <c r="O60" s="329">
        <v>-110541</v>
      </c>
      <c r="P60" s="329">
        <v>-105328</v>
      </c>
      <c r="Q60" s="329">
        <v>-98672</v>
      </c>
      <c r="R60" s="329">
        <v>-119262</v>
      </c>
      <c r="S60" s="329">
        <v>-108646</v>
      </c>
      <c r="T60" s="329">
        <f>-111570-3504</f>
        <v>-115074</v>
      </c>
      <c r="U60" s="329">
        <f>-110233-2906</f>
        <v>-113139</v>
      </c>
      <c r="V60" s="330">
        <f>-109802-2115</f>
        <v>-111917</v>
      </c>
      <c r="W60" s="329">
        <f>-108440-2911</f>
        <v>-111351</v>
      </c>
      <c r="X60" s="330">
        <f>-115567-2923</f>
        <v>-118490</v>
      </c>
      <c r="Y60" s="171">
        <v>-103068</v>
      </c>
      <c r="Z60" s="171">
        <v>-116432</v>
      </c>
      <c r="AA60" s="171">
        <v>-102579</v>
      </c>
      <c r="AB60" s="171">
        <v>-103694</v>
      </c>
      <c r="AC60" s="171">
        <v>-98617</v>
      </c>
      <c r="AD60" s="171">
        <v>-99648</v>
      </c>
      <c r="AE60" s="171">
        <v>-99039</v>
      </c>
      <c r="AF60" s="171">
        <v>-88205</v>
      </c>
      <c r="AG60" s="171">
        <v>-88872</v>
      </c>
      <c r="AH60" s="171">
        <v>-89345</v>
      </c>
      <c r="AI60" s="171">
        <v>-78235</v>
      </c>
      <c r="AJ60" s="171">
        <v>-91456</v>
      </c>
      <c r="AK60" s="171">
        <v>-85574</v>
      </c>
      <c r="AL60" s="171">
        <v>-95718</v>
      </c>
      <c r="AM60" s="171">
        <v>-91395</v>
      </c>
      <c r="AN60" s="171">
        <v>-95817</v>
      </c>
      <c r="AO60" s="171">
        <v>-88461</v>
      </c>
      <c r="AP60" s="171">
        <v>-105422</v>
      </c>
      <c r="AQ60" s="171">
        <v>-103070</v>
      </c>
      <c r="AR60" s="171">
        <v>-100816</v>
      </c>
      <c r="AS60" s="171">
        <v>-85151</v>
      </c>
      <c r="AT60" s="171">
        <v>-83244</v>
      </c>
      <c r="AU60" s="171">
        <v>-78043</v>
      </c>
      <c r="AV60" s="171">
        <v>-72479</v>
      </c>
      <c r="AW60" s="171">
        <v>-62128</v>
      </c>
      <c r="AX60" s="171">
        <v>-64486</v>
      </c>
      <c r="AY60" s="171">
        <v>-62746</v>
      </c>
      <c r="AZ60" s="171">
        <v>-61240</v>
      </c>
      <c r="BA60" s="171">
        <v>-48200</v>
      </c>
    </row>
    <row r="61" spans="1:53" s="99" customFormat="1" x14ac:dyDescent="0.25">
      <c r="A61" s="307" t="s">
        <v>12</v>
      </c>
      <c r="B61" s="323">
        <v>-23715</v>
      </c>
      <c r="C61" s="323">
        <v>-23415</v>
      </c>
      <c r="D61" s="323">
        <v>-22461</v>
      </c>
      <c r="E61" s="323">
        <v>-21697</v>
      </c>
      <c r="F61" s="323">
        <v>-23675</v>
      </c>
      <c r="G61" s="323">
        <v>-23967</v>
      </c>
      <c r="H61" s="323">
        <v>-25856</v>
      </c>
      <c r="I61" s="323">
        <f>-'[1]OPER_FIN 3P TRI'!$B$155</f>
        <v>-23281</v>
      </c>
      <c r="J61" s="323">
        <v>-23066</v>
      </c>
      <c r="K61" s="323">
        <f>('[2]OPER_FIN 3P TRI'!$B$147)*-1</f>
        <v>-22241</v>
      </c>
      <c r="L61" s="323">
        <v>-20773</v>
      </c>
      <c r="M61" s="323">
        <v>-19979</v>
      </c>
      <c r="N61" s="323">
        <v>-18070</v>
      </c>
      <c r="O61" s="323">
        <v>-18544</v>
      </c>
      <c r="P61" s="323">
        <v>-21525</v>
      </c>
      <c r="Q61" s="323">
        <v>-19654</v>
      </c>
      <c r="R61" s="323">
        <v>-17753</v>
      </c>
      <c r="S61" s="323">
        <v>-18617</v>
      </c>
      <c r="T61" s="323">
        <v>-18849</v>
      </c>
      <c r="U61" s="323">
        <v>-20475</v>
      </c>
      <c r="V61" s="326">
        <v>-22871.3</v>
      </c>
      <c r="W61" s="323">
        <v>-25554</v>
      </c>
      <c r="X61" s="326">
        <v>-20121</v>
      </c>
      <c r="Y61" s="326">
        <v>-18599</v>
      </c>
      <c r="Z61" s="326">
        <v>-20437</v>
      </c>
      <c r="AA61" s="326">
        <v>-21259</v>
      </c>
      <c r="AB61" s="326">
        <v>-7196</v>
      </c>
      <c r="AC61" s="326">
        <v>-10799</v>
      </c>
      <c r="AD61" s="326">
        <v>-1492</v>
      </c>
      <c r="AE61" s="326">
        <v>-12385</v>
      </c>
      <c r="AF61" s="326">
        <v>-15655</v>
      </c>
      <c r="AG61" s="326">
        <v>-13241</v>
      </c>
      <c r="AH61" s="326" t="s">
        <v>0</v>
      </c>
      <c r="AI61" s="326" t="s">
        <v>0</v>
      </c>
      <c r="AJ61" s="326" t="s">
        <v>0</v>
      </c>
      <c r="AK61" s="326" t="s">
        <v>0</v>
      </c>
      <c r="AL61" s="326" t="s">
        <v>0</v>
      </c>
      <c r="AM61" s="326" t="s">
        <v>0</v>
      </c>
      <c r="AN61" s="326" t="s">
        <v>0</v>
      </c>
      <c r="AO61" s="326" t="s">
        <v>0</v>
      </c>
      <c r="AP61" s="326" t="s">
        <v>0</v>
      </c>
      <c r="AQ61" s="326" t="s">
        <v>0</v>
      </c>
      <c r="AR61" s="326" t="s">
        <v>0</v>
      </c>
      <c r="AS61" s="326" t="s">
        <v>0</v>
      </c>
      <c r="AT61" s="326" t="s">
        <v>0</v>
      </c>
      <c r="AU61" s="326" t="s">
        <v>0</v>
      </c>
      <c r="AV61" s="326" t="s">
        <v>0</v>
      </c>
      <c r="AW61" s="326" t="s">
        <v>0</v>
      </c>
      <c r="AX61" s="326" t="s">
        <v>0</v>
      </c>
      <c r="AY61" s="326" t="s">
        <v>0</v>
      </c>
      <c r="AZ61" s="326" t="s">
        <v>0</v>
      </c>
      <c r="BA61" s="326" t="s">
        <v>0</v>
      </c>
    </row>
    <row r="62" spans="1:53" s="99" customFormat="1" ht="17.25" x14ac:dyDescent="0.25">
      <c r="A62" s="311" t="s">
        <v>484</v>
      </c>
      <c r="B62" s="329">
        <v>-63841</v>
      </c>
      <c r="C62" s="329">
        <v>-55744</v>
      </c>
      <c r="D62" s="329">
        <v>-62125</v>
      </c>
      <c r="E62" s="329">
        <v>-64987</v>
      </c>
      <c r="F62" s="329">
        <v>-65700</v>
      </c>
      <c r="G62" s="329">
        <v>-63543</v>
      </c>
      <c r="H62" s="329">
        <v>-55946</v>
      </c>
      <c r="I62" s="329">
        <f>-55149</f>
        <v>-55149</v>
      </c>
      <c r="J62" s="329">
        <v>-56306</v>
      </c>
      <c r="K62" s="329">
        <f>('[2]OPER_FIN 3P TRI'!$B$148+'[2]OPER_FIN 3P TRI'!$B$155+'[2]OPER_FIN 3P TRI'!$B$156)*-1</f>
        <v>-46871</v>
      </c>
      <c r="L62" s="329">
        <v>-44418</v>
      </c>
      <c r="M62" s="329">
        <v>-42922</v>
      </c>
      <c r="N62" s="329">
        <v>-47718</v>
      </c>
      <c r="O62" s="329">
        <v>-38357</v>
      </c>
      <c r="P62" s="329">
        <v>-45357</v>
      </c>
      <c r="Q62" s="329">
        <v>-47004</v>
      </c>
      <c r="R62" s="329">
        <v>-43358</v>
      </c>
      <c r="S62" s="329">
        <v>-39536</v>
      </c>
      <c r="T62" s="329">
        <f>-13889-19558-6287</f>
        <v>-39734</v>
      </c>
      <c r="U62" s="329">
        <f>-11972-19845-6172</f>
        <v>-37989</v>
      </c>
      <c r="V62" s="330">
        <f>-12380-16303-6361</f>
        <v>-35044</v>
      </c>
      <c r="W62" s="329">
        <f>-13299-6531-14478</f>
        <v>-34308</v>
      </c>
      <c r="X62" s="330">
        <f>-12469-16349-6728</f>
        <v>-35546</v>
      </c>
      <c r="Y62" s="171">
        <v>-40562</v>
      </c>
      <c r="Z62" s="171">
        <v>-36169</v>
      </c>
      <c r="AA62" s="171">
        <v>-33549</v>
      </c>
      <c r="AB62" s="171">
        <v>-35211</v>
      </c>
      <c r="AC62" s="171">
        <v>-35483</v>
      </c>
      <c r="AD62" s="171">
        <v>-34608</v>
      </c>
      <c r="AE62" s="171">
        <v>-33464</v>
      </c>
      <c r="AF62" s="171">
        <v>-32834</v>
      </c>
      <c r="AG62" s="171">
        <v>-33513</v>
      </c>
      <c r="AH62" s="171">
        <v>-30138</v>
      </c>
      <c r="AI62" s="171">
        <v>-29416</v>
      </c>
      <c r="AJ62" s="171">
        <v>-30662</v>
      </c>
      <c r="AK62" s="171">
        <v>-34039</v>
      </c>
      <c r="AL62" s="171">
        <v>-34478</v>
      </c>
      <c r="AM62" s="171">
        <v>-31751</v>
      </c>
      <c r="AN62" s="171">
        <v>-30430</v>
      </c>
      <c r="AO62" s="171">
        <v>-33227</v>
      </c>
      <c r="AP62" s="171">
        <v>-29644</v>
      </c>
      <c r="AQ62" s="171">
        <v>-30492</v>
      </c>
      <c r="AR62" s="171">
        <v>-30087</v>
      </c>
      <c r="AS62" s="171">
        <v>-28716</v>
      </c>
      <c r="AT62" s="171">
        <v>-26966</v>
      </c>
      <c r="AU62" s="171">
        <v>-25550</v>
      </c>
      <c r="AV62" s="171">
        <v>-25813</v>
      </c>
      <c r="AW62" s="171">
        <v>-27105</v>
      </c>
      <c r="AX62" s="171">
        <v>-25738</v>
      </c>
      <c r="AY62" s="171">
        <v>-24731</v>
      </c>
      <c r="AZ62" s="171">
        <v>-24897</v>
      </c>
      <c r="BA62" s="171">
        <v>-23740</v>
      </c>
    </row>
    <row r="63" spans="1:53" s="99" customFormat="1" ht="30" x14ac:dyDescent="0.25">
      <c r="A63" s="307" t="s">
        <v>479</v>
      </c>
      <c r="B63" s="323">
        <v>-3509</v>
      </c>
      <c r="C63" s="323">
        <v>-30805</v>
      </c>
      <c r="D63" s="323">
        <v>-12763</v>
      </c>
      <c r="E63" s="323">
        <v>-9809.2999999999993</v>
      </c>
      <c r="F63" s="323">
        <v>-23684</v>
      </c>
      <c r="G63" s="323">
        <f>-7397-'[4]MAILING FINANCEIRO'!$B$56</f>
        <v>-14818</v>
      </c>
      <c r="H63" s="323">
        <v>-12366</v>
      </c>
      <c r="I63" s="323">
        <f>-'[1]OPER_FIN 3P TRI'!$B$159</f>
        <v>-8608</v>
      </c>
      <c r="J63" s="323">
        <v>-24333</v>
      </c>
      <c r="K63" s="323">
        <f>('[2]OPER_FIN 3P TRI'!$B$151+'[2]OPER_FIN 3P TRI'!$B$160)*-1</f>
        <v>-10245</v>
      </c>
      <c r="L63" s="323">
        <v>-7223</v>
      </c>
      <c r="M63" s="323">
        <v>-12118</v>
      </c>
      <c r="N63" s="323">
        <v>-20854</v>
      </c>
      <c r="O63" s="323">
        <v>-15211</v>
      </c>
      <c r="P63" s="323">
        <v>-5472</v>
      </c>
      <c r="Q63" s="323">
        <v>-14090</v>
      </c>
      <c r="R63" s="323">
        <v>-14339</v>
      </c>
      <c r="S63" s="323">
        <v>-11247</v>
      </c>
      <c r="T63" s="323">
        <f>-13181-3624</f>
        <v>-16805</v>
      </c>
      <c r="U63" s="323">
        <f>-6262-2537</f>
        <v>-8799</v>
      </c>
      <c r="V63" s="326">
        <f>-8394-3205</f>
        <v>-11599</v>
      </c>
      <c r="W63" s="323">
        <f>-7741-4208</f>
        <v>-11949</v>
      </c>
      <c r="X63" s="326">
        <f>-7889-6306</f>
        <v>-14195</v>
      </c>
      <c r="Y63" s="326">
        <v>-11764</v>
      </c>
      <c r="Z63" s="326">
        <v>-14935</v>
      </c>
      <c r="AA63" s="326">
        <v>-12102</v>
      </c>
      <c r="AB63" s="326">
        <v>-10603</v>
      </c>
      <c r="AC63" s="326">
        <v>-9569</v>
      </c>
      <c r="AD63" s="326">
        <v>-11920</v>
      </c>
      <c r="AE63" s="326">
        <v>-9236</v>
      </c>
      <c r="AF63" s="326">
        <v>-7761</v>
      </c>
      <c r="AG63" s="326">
        <v>-4440</v>
      </c>
      <c r="AH63" s="326">
        <v>-11422</v>
      </c>
      <c r="AI63" s="326">
        <v>-8796</v>
      </c>
      <c r="AJ63" s="326">
        <v>-8187</v>
      </c>
      <c r="AK63" s="326">
        <v>-7786</v>
      </c>
      <c r="AL63" s="326">
        <v>-20043</v>
      </c>
      <c r="AM63" s="326">
        <v>-11839</v>
      </c>
      <c r="AN63" s="326">
        <v>-11563</v>
      </c>
      <c r="AO63" s="326">
        <v>-11011</v>
      </c>
      <c r="AP63" s="326">
        <v>-16737</v>
      </c>
      <c r="AQ63" s="326">
        <v>-13365</v>
      </c>
      <c r="AR63" s="326">
        <v>-9318</v>
      </c>
      <c r="AS63" s="326">
        <v>-12146</v>
      </c>
      <c r="AT63" s="326">
        <v>-14111</v>
      </c>
      <c r="AU63" s="326">
        <v>-10757</v>
      </c>
      <c r="AV63" s="326">
        <v>-9135</v>
      </c>
      <c r="AW63" s="326">
        <v>-7373</v>
      </c>
      <c r="AX63" s="326">
        <v>-13227</v>
      </c>
      <c r="AY63" s="326">
        <v>-7978</v>
      </c>
      <c r="AZ63" s="326">
        <v>-5036</v>
      </c>
      <c r="BA63" s="326">
        <v>-7666</v>
      </c>
    </row>
    <row r="64" spans="1:53" s="99" customFormat="1" x14ac:dyDescent="0.25">
      <c r="A64" s="311" t="s">
        <v>153</v>
      </c>
      <c r="B64" s="329">
        <v>-79241</v>
      </c>
      <c r="C64" s="329">
        <v>-68689</v>
      </c>
      <c r="D64" s="329">
        <v>-62237</v>
      </c>
      <c r="E64" s="329">
        <v>-52363.1</v>
      </c>
      <c r="F64" s="329">
        <v>-51118</v>
      </c>
      <c r="G64" s="329">
        <v>-51241</v>
      </c>
      <c r="H64" s="329">
        <v>-48329</v>
      </c>
      <c r="I64" s="329">
        <f>-'[1]OPER_FIN 3P TRI'!$B$158</f>
        <v>-43594</v>
      </c>
      <c r="J64" s="329">
        <v>-47970</v>
      </c>
      <c r="K64" s="329">
        <f>-'[2]OPER_FIN 3P TRI'!$B$150</f>
        <v>-43371</v>
      </c>
      <c r="L64" s="329">
        <v>-39584</v>
      </c>
      <c r="M64" s="329">
        <v>-40992</v>
      </c>
      <c r="N64" s="329">
        <v>-34522</v>
      </c>
      <c r="O64" s="329">
        <v>-34790</v>
      </c>
      <c r="P64" s="329">
        <v>-30617</v>
      </c>
      <c r="Q64" s="329">
        <v>-33503</v>
      </c>
      <c r="R64" s="329">
        <v>-32161</v>
      </c>
      <c r="S64" s="329">
        <v>-26867</v>
      </c>
      <c r="T64" s="329">
        <v>-24295</v>
      </c>
      <c r="U64" s="329">
        <v>-22480</v>
      </c>
      <c r="V64" s="330">
        <v>-24526</v>
      </c>
      <c r="W64" s="329">
        <v>-23005</v>
      </c>
      <c r="X64" s="330">
        <v>-22820</v>
      </c>
      <c r="Y64" s="171">
        <v>-21136</v>
      </c>
      <c r="Z64" s="171">
        <v>-22797</v>
      </c>
      <c r="AA64" s="171">
        <v>-21537</v>
      </c>
      <c r="AB64" s="171">
        <v>-20153</v>
      </c>
      <c r="AC64" s="171">
        <v>-18582</v>
      </c>
      <c r="AD64" s="171">
        <v>-19407</v>
      </c>
      <c r="AE64" s="171">
        <v>-19344</v>
      </c>
      <c r="AF64" s="171">
        <v>-17501</v>
      </c>
      <c r="AG64" s="171">
        <v>-15881</v>
      </c>
      <c r="AH64" s="171">
        <v>-17465</v>
      </c>
      <c r="AI64" s="171">
        <v>-16719</v>
      </c>
      <c r="AJ64" s="171">
        <v>-15200</v>
      </c>
      <c r="AK64" s="171">
        <v>-16318</v>
      </c>
      <c r="AL64" s="171">
        <v>-18738</v>
      </c>
      <c r="AM64" s="171">
        <v>-18777</v>
      </c>
      <c r="AN64" s="171">
        <v>-18361</v>
      </c>
      <c r="AO64" s="171">
        <v>-17241</v>
      </c>
      <c r="AP64" s="171">
        <v>-18252</v>
      </c>
      <c r="AQ64" s="171">
        <v>-18697</v>
      </c>
      <c r="AR64" s="171">
        <v>-18126</v>
      </c>
      <c r="AS64" s="171">
        <v>-16859</v>
      </c>
      <c r="AT64" s="171">
        <v>-18771</v>
      </c>
      <c r="AU64" s="171">
        <v>-18146.7</v>
      </c>
      <c r="AV64" s="171">
        <v>-16396</v>
      </c>
      <c r="AW64" s="171">
        <v>-14795</v>
      </c>
      <c r="AX64" s="171">
        <v>-16403</v>
      </c>
      <c r="AY64" s="171">
        <v>-17077</v>
      </c>
      <c r="AZ64" s="171">
        <v>-15610</v>
      </c>
      <c r="BA64" s="171">
        <v>-13983</v>
      </c>
    </row>
    <row r="65" spans="1:53" s="99" customFormat="1" ht="30" x14ac:dyDescent="0.25">
      <c r="A65" s="307" t="s">
        <v>481</v>
      </c>
      <c r="B65" s="323">
        <v>-47309</v>
      </c>
      <c r="C65" s="323">
        <v>-33660</v>
      </c>
      <c r="D65" s="323">
        <v>-51220</v>
      </c>
      <c r="E65" s="323">
        <v>-51469.2</v>
      </c>
      <c r="F65" s="323">
        <v>-53980</v>
      </c>
      <c r="G65" s="323">
        <v>-51113</v>
      </c>
      <c r="H65" s="323">
        <v>-38286</v>
      </c>
      <c r="I65" s="323">
        <f>-'[1]OPER_FIN 3P TRI'!$B$157</f>
        <v>-58556</v>
      </c>
      <c r="J65" s="323">
        <v>-59866</v>
      </c>
      <c r="K65" s="323">
        <f>-'[2]OPER_FIN 3P TRI'!$B$149</f>
        <v>-51866</v>
      </c>
      <c r="L65" s="323">
        <v>-60656</v>
      </c>
      <c r="M65" s="323">
        <v>-49028</v>
      </c>
      <c r="N65" s="323">
        <v>-88781</v>
      </c>
      <c r="O65" s="323">
        <v>-93414</v>
      </c>
      <c r="P65" s="323">
        <v>-136093</v>
      </c>
      <c r="Q65" s="323">
        <v>-51592</v>
      </c>
      <c r="R65" s="323">
        <v>-44852</v>
      </c>
      <c r="S65" s="323">
        <v>-47493</v>
      </c>
      <c r="T65" s="323">
        <v>-47059</v>
      </c>
      <c r="U65" s="323">
        <v>-50251</v>
      </c>
      <c r="V65" s="326">
        <v>-53230</v>
      </c>
      <c r="W65" s="323">
        <v>-79656</v>
      </c>
      <c r="X65" s="326">
        <v>-62878</v>
      </c>
      <c r="Y65" s="326">
        <v>-57004</v>
      </c>
      <c r="Z65" s="326">
        <v>-50430</v>
      </c>
      <c r="AA65" s="326">
        <v>-52509</v>
      </c>
      <c r="AB65" s="326">
        <v>-47071</v>
      </c>
      <c r="AC65" s="326">
        <v>-48660</v>
      </c>
      <c r="AD65" s="326">
        <v>-40448</v>
      </c>
      <c r="AE65" s="326">
        <v>-41393</v>
      </c>
      <c r="AF65" s="326">
        <v>-43339</v>
      </c>
      <c r="AG65" s="326">
        <v>-33098</v>
      </c>
      <c r="AH65" s="326">
        <v>-36506</v>
      </c>
      <c r="AI65" s="326">
        <v>-30443</v>
      </c>
      <c r="AJ65" s="326">
        <v>-41479</v>
      </c>
      <c r="AK65" s="326">
        <v>-22522</v>
      </c>
      <c r="AL65" s="326">
        <v>-24362</v>
      </c>
      <c r="AM65" s="326">
        <v>-22800</v>
      </c>
      <c r="AN65" s="326">
        <v>-25237</v>
      </c>
      <c r="AO65" s="326">
        <v>-19959</v>
      </c>
      <c r="AP65" s="326">
        <v>-23557</v>
      </c>
      <c r="AQ65" s="326">
        <v>-17581</v>
      </c>
      <c r="AR65" s="326">
        <v>-17405</v>
      </c>
      <c r="AS65" s="326">
        <v>-15130</v>
      </c>
      <c r="AT65" s="326">
        <v>-13845</v>
      </c>
      <c r="AU65" s="326">
        <v>-19588.7</v>
      </c>
      <c r="AV65" s="326">
        <v>-11625</v>
      </c>
      <c r="AW65" s="326">
        <v>-21961</v>
      </c>
      <c r="AX65" s="326">
        <v>-12631</v>
      </c>
      <c r="AY65" s="326">
        <v>-11166</v>
      </c>
      <c r="AZ65" s="326">
        <v>-10206</v>
      </c>
      <c r="BA65" s="326">
        <v>-9970</v>
      </c>
    </row>
    <row r="66" spans="1:53" s="99" customFormat="1" x14ac:dyDescent="0.25">
      <c r="A66" s="311" t="s">
        <v>480</v>
      </c>
      <c r="B66" s="329">
        <v>16778</v>
      </c>
      <c r="C66" s="329">
        <v>16578</v>
      </c>
      <c r="D66" s="329">
        <v>17458</v>
      </c>
      <c r="E66" s="329">
        <v>13819</v>
      </c>
      <c r="F66" s="329">
        <v>17787</v>
      </c>
      <c r="G66" s="329">
        <v>17428</v>
      </c>
      <c r="H66" s="329">
        <v>17212</v>
      </c>
      <c r="I66" s="329">
        <f>-'[1]OPER_FIN 3P TRI'!$B$165</f>
        <v>16448</v>
      </c>
      <c r="J66" s="329">
        <v>15229</v>
      </c>
      <c r="K66" s="329">
        <f>-'[2]OPER_FIN 3P TRI'!$B$157</f>
        <v>13833</v>
      </c>
      <c r="L66" s="329">
        <v>14041</v>
      </c>
      <c r="M66" s="329">
        <v>14381</v>
      </c>
      <c r="N66" s="329">
        <v>14015</v>
      </c>
      <c r="O66" s="329">
        <v>12823</v>
      </c>
      <c r="P66" s="329">
        <v>13748</v>
      </c>
      <c r="Q66" s="329">
        <v>12798</v>
      </c>
      <c r="R66" s="329">
        <v>12508</v>
      </c>
      <c r="S66" s="329">
        <v>23336</v>
      </c>
      <c r="T66" s="329">
        <v>28921</v>
      </c>
      <c r="U66" s="329">
        <v>29544</v>
      </c>
      <c r="V66" s="330">
        <v>29903</v>
      </c>
      <c r="W66" s="329">
        <v>28607</v>
      </c>
      <c r="X66" s="330">
        <v>26102</v>
      </c>
      <c r="Y66" s="171">
        <v>26102</v>
      </c>
      <c r="Z66" s="171">
        <v>29920</v>
      </c>
      <c r="AA66" s="171">
        <v>30296</v>
      </c>
      <c r="AB66" s="171">
        <v>30264</v>
      </c>
      <c r="AC66" s="171">
        <v>29877</v>
      </c>
      <c r="AD66" s="171">
        <v>31597</v>
      </c>
      <c r="AE66" s="171">
        <v>31538</v>
      </c>
      <c r="AF66" s="171">
        <v>31583</v>
      </c>
      <c r="AG66" s="171">
        <v>33493</v>
      </c>
      <c r="AH66" s="171">
        <v>31628</v>
      </c>
      <c r="AI66" s="171">
        <v>29497</v>
      </c>
      <c r="AJ66" s="171">
        <v>29098</v>
      </c>
      <c r="AK66" s="171">
        <v>28257</v>
      </c>
      <c r="AL66" s="171">
        <v>27870</v>
      </c>
      <c r="AM66" s="171">
        <v>24617</v>
      </c>
      <c r="AN66" s="171">
        <v>24304</v>
      </c>
      <c r="AO66" s="171">
        <v>23880</v>
      </c>
      <c r="AP66" s="171">
        <v>23364</v>
      </c>
      <c r="AQ66" s="171">
        <v>22274</v>
      </c>
      <c r="AR66" s="171">
        <v>18669</v>
      </c>
      <c r="AS66" s="171">
        <v>19737</v>
      </c>
      <c r="AT66" s="171">
        <v>21704</v>
      </c>
      <c r="AU66" s="171">
        <v>23812.3</v>
      </c>
      <c r="AV66" s="171">
        <v>22793</v>
      </c>
      <c r="AW66" s="171">
        <v>21372</v>
      </c>
      <c r="AX66" s="171">
        <v>20458</v>
      </c>
      <c r="AY66" s="171">
        <v>18112</v>
      </c>
      <c r="AZ66" s="171">
        <v>16665</v>
      </c>
      <c r="BA66" s="171">
        <v>15636</v>
      </c>
    </row>
    <row r="67" spans="1:53" s="99" customFormat="1" x14ac:dyDescent="0.25">
      <c r="A67" s="312"/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</row>
    <row r="68" spans="1:53" s="99" customFormat="1" ht="30" x14ac:dyDescent="0.25">
      <c r="A68" s="18" t="s">
        <v>154</v>
      </c>
      <c r="B68" s="316">
        <f t="shared" ref="B68:D68" si="65">B56-B58</f>
        <v>-983624</v>
      </c>
      <c r="C68" s="316">
        <f t="shared" si="65"/>
        <v>-948528</v>
      </c>
      <c r="D68" s="316">
        <f t="shared" si="65"/>
        <v>-1013514</v>
      </c>
      <c r="E68" s="316">
        <f>E56-E58</f>
        <v>-869843.10000000009</v>
      </c>
      <c r="F68" s="316">
        <f>F56-F58</f>
        <v>-874487</v>
      </c>
      <c r="G68" s="316">
        <f>G56-G58</f>
        <v>-835424</v>
      </c>
      <c r="H68" s="316">
        <f t="shared" ref="H68" si="66">H56-H58</f>
        <v>-826583</v>
      </c>
      <c r="I68" s="316">
        <f>I56-I58</f>
        <v>-828893</v>
      </c>
      <c r="J68" s="316">
        <f>J56-J58</f>
        <v>-868115</v>
      </c>
      <c r="K68" s="316">
        <f t="shared" ref="K68:L68" si="67">K56-K58</f>
        <v>-965900</v>
      </c>
      <c r="L68" s="316">
        <f t="shared" si="67"/>
        <v>-786909</v>
      </c>
      <c r="M68" s="316">
        <f t="shared" ref="M68:BA68" si="68">M56-M58</f>
        <v>-738433</v>
      </c>
      <c r="N68" s="316">
        <f t="shared" si="68"/>
        <v>-794522</v>
      </c>
      <c r="O68" s="316">
        <f t="shared" si="68"/>
        <v>-763838</v>
      </c>
      <c r="P68" s="316">
        <f t="shared" si="68"/>
        <v>-786836</v>
      </c>
      <c r="Q68" s="316">
        <f t="shared" si="68"/>
        <v>-708336</v>
      </c>
      <c r="R68" s="316">
        <f t="shared" si="68"/>
        <v>-744531</v>
      </c>
      <c r="S68" s="316">
        <f t="shared" si="68"/>
        <v>-698201</v>
      </c>
      <c r="T68" s="316">
        <f t="shared" si="68"/>
        <v>-675665</v>
      </c>
      <c r="U68" s="316">
        <f t="shared" si="68"/>
        <v>-652500</v>
      </c>
      <c r="V68" s="316">
        <f t="shared" si="68"/>
        <v>-679149.10000000009</v>
      </c>
      <c r="W68" s="316">
        <f t="shared" si="68"/>
        <v>-722395</v>
      </c>
      <c r="X68" s="316">
        <f t="shared" si="68"/>
        <v>-665902</v>
      </c>
      <c r="Y68" s="316">
        <f t="shared" si="68"/>
        <v>-619711</v>
      </c>
      <c r="Z68" s="316">
        <f t="shared" si="68"/>
        <v>-665710</v>
      </c>
      <c r="AA68" s="316">
        <f t="shared" si="68"/>
        <v>-616738</v>
      </c>
      <c r="AB68" s="316">
        <f t="shared" si="68"/>
        <v>-600324</v>
      </c>
      <c r="AC68" s="316">
        <f t="shared" si="68"/>
        <v>-570611</v>
      </c>
      <c r="AD68" s="316">
        <f t="shared" si="68"/>
        <v>-571527</v>
      </c>
      <c r="AE68" s="316">
        <f t="shared" si="68"/>
        <v>-559772</v>
      </c>
      <c r="AF68" s="316">
        <f t="shared" si="68"/>
        <v>-547015</v>
      </c>
      <c r="AG68" s="316">
        <f t="shared" si="68"/>
        <v>-513306</v>
      </c>
      <c r="AH68" s="316">
        <f t="shared" si="68"/>
        <v>-712282</v>
      </c>
      <c r="AI68" s="316">
        <f t="shared" si="68"/>
        <v>-527365</v>
      </c>
      <c r="AJ68" s="317">
        <f t="shared" si="68"/>
        <v>-559899</v>
      </c>
      <c r="AK68" s="317">
        <f t="shared" si="68"/>
        <v>-500441</v>
      </c>
      <c r="AL68" s="317">
        <f t="shared" si="68"/>
        <v>-518778</v>
      </c>
      <c r="AM68" s="317">
        <f t="shared" si="68"/>
        <v>-487712</v>
      </c>
      <c r="AN68" s="317">
        <f t="shared" si="68"/>
        <v>-489248</v>
      </c>
      <c r="AO68" s="317">
        <f t="shared" si="68"/>
        <v>-469313</v>
      </c>
      <c r="AP68" s="317">
        <f t="shared" si="68"/>
        <v>-495234</v>
      </c>
      <c r="AQ68" s="317">
        <f t="shared" si="68"/>
        <v>-484155</v>
      </c>
      <c r="AR68" s="317">
        <f t="shared" si="68"/>
        <v>-458185</v>
      </c>
      <c r="AS68" s="317">
        <f t="shared" si="68"/>
        <v>-420878</v>
      </c>
      <c r="AT68" s="317">
        <f t="shared" si="68"/>
        <v>-443509</v>
      </c>
      <c r="AU68" s="317">
        <f t="shared" si="68"/>
        <v>-413494.68879999995</v>
      </c>
      <c r="AV68" s="317">
        <f t="shared" si="68"/>
        <v>-395159</v>
      </c>
      <c r="AW68" s="317">
        <f t="shared" si="68"/>
        <v>-381048</v>
      </c>
      <c r="AX68" s="317">
        <f t="shared" si="68"/>
        <v>-393263</v>
      </c>
      <c r="AY68" s="317">
        <f t="shared" si="68"/>
        <v>-385318</v>
      </c>
      <c r="AZ68" s="317">
        <f t="shared" si="68"/>
        <v>-351324</v>
      </c>
      <c r="BA68" s="317">
        <f t="shared" si="68"/>
        <v>-319901</v>
      </c>
    </row>
    <row r="69" spans="1:53" s="99" customFormat="1" x14ac:dyDescent="0.25">
      <c r="A69" s="313"/>
      <c r="B69" s="302"/>
      <c r="C69" s="302"/>
      <c r="D69" s="302"/>
      <c r="E69" s="302"/>
      <c r="F69" s="302"/>
      <c r="G69" s="302"/>
      <c r="H69" s="302"/>
      <c r="I69" s="302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6"/>
      <c r="X69" s="17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</row>
    <row r="70" spans="1:53" s="99" customFormat="1" x14ac:dyDescent="0.25">
      <c r="A70" s="18" t="s">
        <v>145</v>
      </c>
      <c r="B70" s="316">
        <v>11599</v>
      </c>
      <c r="C70" s="316">
        <v>23526</v>
      </c>
      <c r="D70" s="316">
        <v>15496</v>
      </c>
      <c r="E70" s="316">
        <v>16439</v>
      </c>
      <c r="F70" s="316">
        <v>33119</v>
      </c>
      <c r="G70" s="316">
        <v>32229</v>
      </c>
      <c r="H70" s="316">
        <f>'[5]OPER_FIN 3P TRI'!$B$279</f>
        <v>33732</v>
      </c>
      <c r="I70" s="316">
        <v>35937</v>
      </c>
      <c r="J70" s="316">
        <v>87485</v>
      </c>
      <c r="K70" s="316">
        <v>36753</v>
      </c>
      <c r="L70" s="316">
        <v>27674</v>
      </c>
      <c r="M70" s="316">
        <v>25468</v>
      </c>
      <c r="N70" s="316">
        <v>50989</v>
      </c>
      <c r="O70" s="316">
        <v>64667</v>
      </c>
      <c r="P70" s="316">
        <v>26408</v>
      </c>
      <c r="Q70" s="316">
        <v>29277</v>
      </c>
      <c r="R70" s="316">
        <v>27383</v>
      </c>
      <c r="S70" s="316">
        <v>23457</v>
      </c>
      <c r="T70" s="316">
        <v>19146</v>
      </c>
      <c r="U70" s="316">
        <v>37951</v>
      </c>
      <c r="V70" s="316">
        <v>38714.1</v>
      </c>
      <c r="W70" s="316">
        <v>84897</v>
      </c>
      <c r="X70" s="316">
        <v>32521</v>
      </c>
      <c r="Y70" s="316">
        <v>40003</v>
      </c>
      <c r="Z70" s="316">
        <v>50991</v>
      </c>
      <c r="AA70" s="316">
        <v>60714</v>
      </c>
      <c r="AB70" s="316">
        <v>49728</v>
      </c>
      <c r="AC70" s="316">
        <v>86363</v>
      </c>
      <c r="AD70" s="316">
        <v>87922</v>
      </c>
      <c r="AE70" s="316">
        <v>36022</v>
      </c>
      <c r="AF70" s="316">
        <v>29591</v>
      </c>
      <c r="AG70" s="316">
        <v>36748</v>
      </c>
      <c r="AH70" s="316">
        <v>80184</v>
      </c>
      <c r="AI70" s="316">
        <v>65231</v>
      </c>
      <c r="AJ70" s="317">
        <v>33069</v>
      </c>
      <c r="AK70" s="317">
        <v>26707</v>
      </c>
      <c r="AL70" s="317">
        <v>33249</v>
      </c>
      <c r="AM70" s="317">
        <v>33449</v>
      </c>
      <c r="AN70" s="317">
        <v>24690</v>
      </c>
      <c r="AO70" s="317">
        <v>18959</v>
      </c>
      <c r="AP70" s="317">
        <v>42173</v>
      </c>
      <c r="AQ70" s="317">
        <v>43662</v>
      </c>
      <c r="AR70" s="317">
        <v>11715</v>
      </c>
      <c r="AS70" s="317">
        <v>11178</v>
      </c>
      <c r="AT70" s="317">
        <v>32498</v>
      </c>
      <c r="AU70" s="317">
        <v>12235</v>
      </c>
      <c r="AV70" s="317">
        <v>32774</v>
      </c>
      <c r="AW70" s="317">
        <v>44823</v>
      </c>
      <c r="AX70" s="317">
        <v>10842</v>
      </c>
      <c r="AY70" s="317">
        <v>19477</v>
      </c>
      <c r="AZ70" s="317">
        <v>14314</v>
      </c>
      <c r="BA70" s="317">
        <v>34069</v>
      </c>
    </row>
    <row r="71" spans="1:53" s="12" customFormat="1" x14ac:dyDescent="0.25">
      <c r="A71" s="314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  <c r="AL71" s="332"/>
      <c r="AM71" s="332"/>
      <c r="AN71" s="332"/>
      <c r="AO71" s="332"/>
      <c r="AP71" s="332"/>
      <c r="AQ71" s="332"/>
      <c r="AR71" s="332"/>
      <c r="AS71" s="332"/>
      <c r="AT71" s="332"/>
      <c r="AU71" s="332"/>
      <c r="AV71" s="332"/>
      <c r="AW71" s="332"/>
      <c r="AX71" s="332"/>
      <c r="AY71" s="332"/>
      <c r="AZ71" s="332"/>
      <c r="BA71" s="332"/>
    </row>
    <row r="72" spans="1:53" s="99" customFormat="1" x14ac:dyDescent="0.25">
      <c r="A72" s="18" t="s">
        <v>129</v>
      </c>
      <c r="B72" s="316">
        <v>-108839</v>
      </c>
      <c r="C72" s="316">
        <v>-5025</v>
      </c>
      <c r="D72" s="316">
        <v>-41517</v>
      </c>
      <c r="E72" s="316">
        <v>-38109</v>
      </c>
      <c r="F72" s="316">
        <v>-13859</v>
      </c>
      <c r="G72" s="316">
        <v>-58884</v>
      </c>
      <c r="H72" s="316">
        <f>'[5]OPER_FIN 3P TRI'!$B$280</f>
        <v>-49004</v>
      </c>
      <c r="I72" s="316">
        <v>-29565</v>
      </c>
      <c r="J72" s="316">
        <v>-159439</v>
      </c>
      <c r="K72" s="316">
        <v>-138827</v>
      </c>
      <c r="L72" s="316">
        <v>-50089</v>
      </c>
      <c r="M72" s="316">
        <v>-48276</v>
      </c>
      <c r="N72" s="316">
        <v>-57276</v>
      </c>
      <c r="O72" s="316">
        <v>-47305</v>
      </c>
      <c r="P72" s="316">
        <v>-45431</v>
      </c>
      <c r="Q72" s="316">
        <v>-47248</v>
      </c>
      <c r="R72" s="316">
        <v>-60501</v>
      </c>
      <c r="S72" s="316">
        <v>-52664</v>
      </c>
      <c r="T72" s="316">
        <v>-74869</v>
      </c>
      <c r="U72" s="316">
        <v>-33137</v>
      </c>
      <c r="V72" s="316">
        <v>-34962.69</v>
      </c>
      <c r="W72" s="316">
        <v>-37183</v>
      </c>
      <c r="X72" s="316">
        <v>-31972</v>
      </c>
      <c r="Y72" s="316">
        <v>-35496</v>
      </c>
      <c r="Z72" s="316">
        <v>-29933</v>
      </c>
      <c r="AA72" s="316">
        <v>-80200</v>
      </c>
      <c r="AB72" s="316">
        <v>-30855</v>
      </c>
      <c r="AC72" s="316">
        <v>-85833</v>
      </c>
      <c r="AD72" s="316">
        <v>-60248</v>
      </c>
      <c r="AE72" s="316">
        <v>-86639</v>
      </c>
      <c r="AF72" s="316">
        <v>-34801</v>
      </c>
      <c r="AG72" s="316">
        <v>-30771</v>
      </c>
      <c r="AH72" s="316">
        <v>-88986</v>
      </c>
      <c r="AI72" s="316">
        <v>-49488</v>
      </c>
      <c r="AJ72" s="317">
        <v>-24294</v>
      </c>
      <c r="AK72" s="317">
        <v>-27723</v>
      </c>
      <c r="AL72" s="317">
        <v>-79789</v>
      </c>
      <c r="AM72" s="317">
        <v>-25086</v>
      </c>
      <c r="AN72" s="317">
        <v>-29653</v>
      </c>
      <c r="AO72" s="317">
        <v>-25220</v>
      </c>
      <c r="AP72" s="317">
        <v>-27785</v>
      </c>
      <c r="AQ72" s="317">
        <v>-17058</v>
      </c>
      <c r="AR72" s="317">
        <v>-17344</v>
      </c>
      <c r="AS72" s="317">
        <v>-19531</v>
      </c>
      <c r="AT72" s="317">
        <v>-33236</v>
      </c>
      <c r="AU72" s="317">
        <v>-12839</v>
      </c>
      <c r="AV72" s="317">
        <v>-15194</v>
      </c>
      <c r="AW72" s="317">
        <v>-28359</v>
      </c>
      <c r="AX72" s="317">
        <v>-12860</v>
      </c>
      <c r="AY72" s="317">
        <v>-16446</v>
      </c>
      <c r="AZ72" s="317">
        <v>-21421</v>
      </c>
      <c r="BA72" s="317">
        <v>-12659</v>
      </c>
    </row>
    <row r="73" spans="1:53" s="99" customFormat="1" x14ac:dyDescent="0.25">
      <c r="A73" s="315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21"/>
      <c r="W73" s="333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</row>
    <row r="74" spans="1:53" s="99" customFormat="1" ht="17.25" x14ac:dyDescent="0.25">
      <c r="A74" s="311" t="s">
        <v>483</v>
      </c>
      <c r="B74" s="322"/>
      <c r="C74" s="322">
        <v>0</v>
      </c>
      <c r="D74" s="322">
        <v>0</v>
      </c>
      <c r="E74" s="322">
        <v>0</v>
      </c>
      <c r="F74" s="322">
        <v>0</v>
      </c>
      <c r="G74" s="322">
        <v>0</v>
      </c>
      <c r="H74" s="322"/>
      <c r="I74" s="322"/>
      <c r="J74" s="322">
        <v>0</v>
      </c>
      <c r="K74" s="322"/>
      <c r="L74" s="322"/>
      <c r="M74" s="322"/>
      <c r="N74" s="322"/>
      <c r="O74" s="322"/>
      <c r="P74" s="322"/>
      <c r="Q74" s="322"/>
      <c r="R74" s="322"/>
      <c r="S74" s="322">
        <v>-12222</v>
      </c>
      <c r="T74" s="322">
        <v>-7519</v>
      </c>
      <c r="U74" s="322">
        <v>-11827</v>
      </c>
      <c r="V74" s="171">
        <v>-11536</v>
      </c>
      <c r="W74" s="322">
        <v>-7999</v>
      </c>
      <c r="X74" s="171">
        <v>-6977</v>
      </c>
      <c r="Y74" s="171">
        <v>-10401</v>
      </c>
      <c r="Z74" s="171">
        <v>-9761</v>
      </c>
      <c r="AA74" s="171">
        <v>-9424</v>
      </c>
      <c r="AB74" s="171">
        <v>-6961</v>
      </c>
      <c r="AC74" s="171">
        <v>-9090</v>
      </c>
      <c r="AD74" s="171">
        <v>-8266</v>
      </c>
      <c r="AE74" s="171">
        <v>-6865</v>
      </c>
      <c r="AF74" s="171">
        <v>-9887</v>
      </c>
      <c r="AG74" s="171">
        <v>-2155</v>
      </c>
      <c r="AH74" s="171">
        <v>1565</v>
      </c>
      <c r="AI74" s="171">
        <v>392</v>
      </c>
      <c r="AJ74" s="171">
        <v>-639</v>
      </c>
      <c r="AK74" s="171">
        <v>-1318</v>
      </c>
      <c r="AL74" s="171">
        <v>-2793</v>
      </c>
      <c r="AM74" s="171">
        <v>-5631</v>
      </c>
      <c r="AN74" s="171">
        <v>-4765</v>
      </c>
      <c r="AO74" s="171">
        <v>-6628</v>
      </c>
      <c r="AP74" s="171">
        <v>-11061</v>
      </c>
      <c r="AQ74" s="171">
        <v>-8224</v>
      </c>
      <c r="AR74" s="171">
        <v>-5480</v>
      </c>
      <c r="AS74" s="171">
        <v>-7905</v>
      </c>
      <c r="AT74" s="171">
        <v>-5342</v>
      </c>
      <c r="AU74" s="171">
        <v>-7808</v>
      </c>
      <c r="AV74" s="171">
        <v>-6777</v>
      </c>
      <c r="AW74" s="171">
        <v>-7685</v>
      </c>
      <c r="AX74" s="171">
        <v>-4897</v>
      </c>
      <c r="AY74" s="171">
        <v>-8353</v>
      </c>
      <c r="AZ74" s="171">
        <v>-7323</v>
      </c>
      <c r="BA74" s="171">
        <v>-7744</v>
      </c>
    </row>
    <row r="75" spans="1:53" s="99" customFormat="1" x14ac:dyDescent="0.25">
      <c r="A75" s="309" t="s">
        <v>134</v>
      </c>
      <c r="B75" s="323">
        <f>B24</f>
        <v>247</v>
      </c>
      <c r="C75" s="323">
        <v>-2603</v>
      </c>
      <c r="D75" s="323">
        <v>-2754</v>
      </c>
      <c r="E75" s="323">
        <v>-13238.2</v>
      </c>
      <c r="F75" s="323">
        <v>-4536</v>
      </c>
      <c r="G75" s="323">
        <v>107</v>
      </c>
      <c r="H75" s="323">
        <v>-4387</v>
      </c>
      <c r="I75" s="323">
        <v>-2347</v>
      </c>
      <c r="J75" s="323">
        <v>-4248</v>
      </c>
      <c r="K75" s="323">
        <v>-3437</v>
      </c>
      <c r="L75" s="323">
        <v>-2913</v>
      </c>
      <c r="M75" s="323">
        <v>-2093</v>
      </c>
      <c r="N75" s="323">
        <v>2241</v>
      </c>
      <c r="O75" s="323">
        <v>-3802</v>
      </c>
      <c r="P75" s="323">
        <v>-2042</v>
      </c>
      <c r="Q75" s="323">
        <v>-8984</v>
      </c>
      <c r="R75" s="323">
        <v>-3373</v>
      </c>
      <c r="S75" s="323">
        <v>-4332</v>
      </c>
      <c r="T75" s="323">
        <v>-1710</v>
      </c>
      <c r="U75" s="323">
        <v>-3357</v>
      </c>
      <c r="V75" s="326">
        <v>-4662</v>
      </c>
      <c r="W75" s="323">
        <v>-4565.3999999999996</v>
      </c>
      <c r="X75" s="326">
        <v>-2580</v>
      </c>
      <c r="Y75" s="326">
        <v>-1191</v>
      </c>
      <c r="Z75" s="326">
        <v>-1785</v>
      </c>
      <c r="AA75" s="326">
        <v>-2204</v>
      </c>
      <c r="AB75" s="326">
        <v>-2125</v>
      </c>
      <c r="AC75" s="326">
        <v>-1292</v>
      </c>
      <c r="AD75" s="326">
        <v>-215</v>
      </c>
      <c r="AE75" s="326">
        <v>-486</v>
      </c>
      <c r="AF75" s="326">
        <v>-3802</v>
      </c>
      <c r="AG75" s="326">
        <v>-163</v>
      </c>
      <c r="AH75" s="326">
        <v>-1267</v>
      </c>
      <c r="AI75" s="326">
        <v>270</v>
      </c>
      <c r="AJ75" s="326">
        <v>2506</v>
      </c>
      <c r="AK75" s="326">
        <v>-2409</v>
      </c>
      <c r="AL75" s="326">
        <v>-588</v>
      </c>
      <c r="AM75" s="326">
        <v>-4468</v>
      </c>
      <c r="AN75" s="326">
        <v>-1867</v>
      </c>
      <c r="AO75" s="326">
        <v>-2502</v>
      </c>
      <c r="AP75" s="326">
        <v>4575</v>
      </c>
      <c r="AQ75" s="326">
        <v>-3098</v>
      </c>
      <c r="AR75" s="326">
        <v>-4688</v>
      </c>
      <c r="AS75" s="326">
        <v>-3966</v>
      </c>
      <c r="AT75" s="326">
        <v>-3778</v>
      </c>
      <c r="AU75" s="326">
        <v>-4468</v>
      </c>
      <c r="AV75" s="326">
        <v>-2941</v>
      </c>
      <c r="AW75" s="326">
        <v>-2132</v>
      </c>
      <c r="AX75" s="326">
        <v>-6098</v>
      </c>
      <c r="AY75" s="326">
        <v>-4158</v>
      </c>
      <c r="AZ75" s="326">
        <v>-3880</v>
      </c>
      <c r="BA75" s="326">
        <v>-4401</v>
      </c>
    </row>
    <row r="76" spans="1:53" s="99" customFormat="1" x14ac:dyDescent="0.25">
      <c r="A76" s="31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6"/>
      <c r="X76" s="17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</row>
    <row r="77" spans="1:53" s="99" customFormat="1" x14ac:dyDescent="0.25">
      <c r="A77" s="18" t="s">
        <v>68</v>
      </c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</row>
    <row r="78" spans="1:53" s="99" customFormat="1" x14ac:dyDescent="0.25">
      <c r="A78" s="23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19"/>
      <c r="W78" s="320"/>
      <c r="X78" s="319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1"/>
    </row>
    <row r="79" spans="1:53" s="99" customFormat="1" x14ac:dyDescent="0.25">
      <c r="A79" s="311" t="s">
        <v>485</v>
      </c>
      <c r="B79" s="322">
        <v>3046.2</v>
      </c>
      <c r="C79" s="322">
        <v>10098</v>
      </c>
      <c r="D79" s="322">
        <v>2641</v>
      </c>
      <c r="E79" s="322">
        <v>2795</v>
      </c>
      <c r="F79" s="322">
        <v>11983</v>
      </c>
      <c r="G79" s="322">
        <v>2585</v>
      </c>
      <c r="H79" s="322">
        <v>2327</v>
      </c>
      <c r="I79" s="322">
        <v>2068</v>
      </c>
      <c r="J79" s="322">
        <v>6786</v>
      </c>
      <c r="K79" s="322">
        <v>1399</v>
      </c>
      <c r="L79" s="322">
        <v>929</v>
      </c>
      <c r="M79" s="322">
        <v>720</v>
      </c>
      <c r="N79" s="322">
        <v>1829</v>
      </c>
      <c r="O79" s="322">
        <v>619</v>
      </c>
      <c r="P79" s="322">
        <v>880</v>
      </c>
      <c r="Q79" s="322">
        <v>970</v>
      </c>
      <c r="R79" s="322">
        <v>1310</v>
      </c>
      <c r="S79" s="322">
        <v>2997</v>
      </c>
      <c r="T79" s="322">
        <v>1344</v>
      </c>
      <c r="U79" s="322">
        <v>1340</v>
      </c>
      <c r="V79" s="171">
        <v>1930</v>
      </c>
      <c r="W79" s="322">
        <v>1400</v>
      </c>
      <c r="X79" s="171">
        <v>1541</v>
      </c>
      <c r="Y79" s="171">
        <v>1523</v>
      </c>
      <c r="Z79" s="171">
        <v>3455</v>
      </c>
      <c r="AA79" s="171">
        <v>2157</v>
      </c>
      <c r="AB79" s="171">
        <v>2844</v>
      </c>
      <c r="AC79" s="171">
        <v>3369</v>
      </c>
      <c r="AD79" s="171">
        <v>3984</v>
      </c>
      <c r="AE79" s="171">
        <v>7303</v>
      </c>
      <c r="AF79" s="171">
        <v>4267</v>
      </c>
      <c r="AG79" s="171">
        <v>4370</v>
      </c>
      <c r="AH79" s="171">
        <v>6310</v>
      </c>
      <c r="AI79" s="171">
        <v>4260</v>
      </c>
      <c r="AJ79" s="171">
        <v>3602</v>
      </c>
      <c r="AK79" s="171">
        <v>3263</v>
      </c>
      <c r="AL79" s="171">
        <v>1053</v>
      </c>
      <c r="AM79" s="171">
        <v>6976</v>
      </c>
      <c r="AN79" s="171">
        <v>3912</v>
      </c>
      <c r="AO79" s="171">
        <v>3163</v>
      </c>
      <c r="AP79" s="171">
        <v>4409</v>
      </c>
      <c r="AQ79" s="171">
        <v>1784</v>
      </c>
      <c r="AR79" s="171">
        <v>4462</v>
      </c>
      <c r="AS79" s="171">
        <v>3546</v>
      </c>
      <c r="AT79" s="171">
        <v>13157</v>
      </c>
      <c r="AU79" s="171">
        <v>24015</v>
      </c>
      <c r="AV79" s="171">
        <v>3578</v>
      </c>
      <c r="AW79" s="171">
        <v>10896</v>
      </c>
      <c r="AX79" s="171">
        <v>4550</v>
      </c>
      <c r="AY79" s="171">
        <v>6609</v>
      </c>
      <c r="AZ79" s="171">
        <v>9634</v>
      </c>
      <c r="BA79" s="171">
        <v>6726</v>
      </c>
    </row>
    <row r="80" spans="1:53" s="99" customFormat="1" x14ac:dyDescent="0.25">
      <c r="A80" s="309" t="s">
        <v>486</v>
      </c>
      <c r="B80" s="323">
        <v>3670.2</v>
      </c>
      <c r="C80" s="323">
        <v>5822</v>
      </c>
      <c r="D80" s="323">
        <v>18769</v>
      </c>
      <c r="E80" s="323">
        <v>1610</v>
      </c>
      <c r="F80" s="323">
        <v>3601</v>
      </c>
      <c r="G80" s="323">
        <v>9544</v>
      </c>
      <c r="H80" s="323">
        <v>6779</v>
      </c>
      <c r="I80" s="323">
        <v>39971</v>
      </c>
      <c r="J80" s="323">
        <v>8007</v>
      </c>
      <c r="K80" s="323">
        <v>272</v>
      </c>
      <c r="L80" s="323">
        <v>17369</v>
      </c>
      <c r="M80" s="323">
        <v>6934</v>
      </c>
      <c r="N80" s="323">
        <v>-10996</v>
      </c>
      <c r="O80" s="323">
        <v>4957</v>
      </c>
      <c r="P80" s="323">
        <v>5516</v>
      </c>
      <c r="Q80" s="323">
        <v>26918</v>
      </c>
      <c r="R80" s="323">
        <v>2578</v>
      </c>
      <c r="S80" s="323">
        <v>1220</v>
      </c>
      <c r="T80" s="323">
        <v>1237</v>
      </c>
      <c r="U80" s="323">
        <v>4237</v>
      </c>
      <c r="V80" s="326">
        <v>-3321</v>
      </c>
      <c r="W80" s="323">
        <v>3506</v>
      </c>
      <c r="X80" s="326">
        <v>11386</v>
      </c>
      <c r="Y80" s="326">
        <v>360</v>
      </c>
      <c r="Z80" s="326">
        <v>-1128</v>
      </c>
      <c r="AA80" s="326">
        <v>1253</v>
      </c>
      <c r="AB80" s="326">
        <v>-4603</v>
      </c>
      <c r="AC80" s="326">
        <v>5518</v>
      </c>
      <c r="AD80" s="326">
        <v>14030</v>
      </c>
      <c r="AE80" s="326">
        <v>-7830</v>
      </c>
      <c r="AF80" s="326">
        <v>44845</v>
      </c>
      <c r="AG80" s="326">
        <v>22407</v>
      </c>
      <c r="AH80" s="326">
        <v>-1559</v>
      </c>
      <c r="AI80" s="326">
        <v>17921</v>
      </c>
      <c r="AJ80" s="326">
        <v>-2689</v>
      </c>
      <c r="AK80" s="326">
        <v>11484</v>
      </c>
      <c r="AL80" s="326">
        <v>-409</v>
      </c>
      <c r="AM80" s="326">
        <v>-6103</v>
      </c>
      <c r="AN80" s="326">
        <v>5508</v>
      </c>
      <c r="AO80" s="326">
        <v>7666</v>
      </c>
      <c r="AP80" s="326" t="s">
        <v>0</v>
      </c>
      <c r="AQ80" s="326" t="s">
        <v>0</v>
      </c>
      <c r="AR80" s="326" t="s">
        <v>0</v>
      </c>
      <c r="AS80" s="326" t="s">
        <v>0</v>
      </c>
      <c r="AT80" s="326" t="s">
        <v>0</v>
      </c>
      <c r="AU80" s="326" t="s">
        <v>0</v>
      </c>
      <c r="AV80" s="326" t="s">
        <v>0</v>
      </c>
      <c r="AW80" s="326" t="s">
        <v>0</v>
      </c>
      <c r="AX80" s="326" t="s">
        <v>0</v>
      </c>
      <c r="AY80" s="326" t="s">
        <v>0</v>
      </c>
      <c r="AZ80" s="326" t="s">
        <v>0</v>
      </c>
      <c r="BA80" s="326" t="s">
        <v>0</v>
      </c>
    </row>
    <row r="81" spans="1:53" s="99" customFormat="1" x14ac:dyDescent="0.25">
      <c r="A81" s="311" t="s">
        <v>5</v>
      </c>
      <c r="B81" s="322">
        <v>13090</v>
      </c>
      <c r="C81" s="322">
        <v>13499</v>
      </c>
      <c r="D81" s="322">
        <v>11641</v>
      </c>
      <c r="E81" s="322">
        <v>11450</v>
      </c>
      <c r="F81" s="322">
        <v>11944</v>
      </c>
      <c r="G81" s="322">
        <v>12117</v>
      </c>
      <c r="H81" s="322">
        <v>12365</v>
      </c>
      <c r="I81" s="322">
        <v>11357</v>
      </c>
      <c r="J81" s="322">
        <v>11389</v>
      </c>
      <c r="K81" s="322">
        <v>12405</v>
      </c>
      <c r="L81" s="322">
        <v>11292</v>
      </c>
      <c r="M81" s="322">
        <v>11421</v>
      </c>
      <c r="N81" s="322">
        <v>11029</v>
      </c>
      <c r="O81" s="322">
        <v>8872</v>
      </c>
      <c r="P81" s="322">
        <v>14176</v>
      </c>
      <c r="Q81" s="322">
        <v>9193</v>
      </c>
      <c r="R81" s="322">
        <v>10261</v>
      </c>
      <c r="S81" s="322">
        <v>9747</v>
      </c>
      <c r="T81" s="322">
        <v>11069</v>
      </c>
      <c r="U81" s="322">
        <v>3251</v>
      </c>
      <c r="V81" s="171">
        <v>6726</v>
      </c>
      <c r="W81" s="322">
        <v>6750</v>
      </c>
      <c r="X81" s="171">
        <v>4309</v>
      </c>
      <c r="Y81" s="171">
        <v>4765</v>
      </c>
      <c r="Z81" s="171">
        <v>5064</v>
      </c>
      <c r="AA81" s="171">
        <v>5848</v>
      </c>
      <c r="AB81" s="171">
        <v>6809</v>
      </c>
      <c r="AC81" s="171">
        <v>4885</v>
      </c>
      <c r="AD81" s="171">
        <v>1068</v>
      </c>
      <c r="AE81" s="171">
        <v>11134</v>
      </c>
      <c r="AF81" s="171">
        <v>9223</v>
      </c>
      <c r="AG81" s="171">
        <v>1763</v>
      </c>
      <c r="AH81" s="171">
        <v>2560</v>
      </c>
      <c r="AI81" s="171">
        <v>1024</v>
      </c>
      <c r="AJ81" s="171">
        <v>228</v>
      </c>
      <c r="AK81" s="171">
        <v>1379</v>
      </c>
      <c r="AL81" s="171">
        <v>6054</v>
      </c>
      <c r="AM81" s="171">
        <v>1392</v>
      </c>
      <c r="AN81" s="171">
        <v>1363</v>
      </c>
      <c r="AO81" s="171">
        <v>1085</v>
      </c>
      <c r="AP81" s="171">
        <v>248</v>
      </c>
      <c r="AQ81" s="171">
        <v>2175</v>
      </c>
      <c r="AR81" s="171">
        <v>3403</v>
      </c>
      <c r="AS81" s="171">
        <v>4082</v>
      </c>
      <c r="AT81" s="171">
        <v>3342</v>
      </c>
      <c r="AU81" s="171">
        <v>8481</v>
      </c>
      <c r="AV81" s="171">
        <v>4153</v>
      </c>
      <c r="AW81" s="171">
        <v>5721</v>
      </c>
      <c r="AX81" s="171">
        <v>4919</v>
      </c>
      <c r="AY81" s="171">
        <v>6002</v>
      </c>
      <c r="AZ81" s="171">
        <v>8007</v>
      </c>
      <c r="BA81" s="171">
        <v>6613</v>
      </c>
    </row>
    <row r="82" spans="1:53" s="99" customFormat="1" x14ac:dyDescent="0.25">
      <c r="A82" s="309" t="s">
        <v>155</v>
      </c>
      <c r="B82" s="323">
        <v>37185.1</v>
      </c>
      <c r="C82" s="323">
        <v>18491</v>
      </c>
      <c r="D82" s="323">
        <v>34078</v>
      </c>
      <c r="E82" s="323">
        <v>36109</v>
      </c>
      <c r="F82" s="323">
        <v>17554</v>
      </c>
      <c r="G82" s="323">
        <v>18342</v>
      </c>
      <c r="H82" s="323">
        <v>24156</v>
      </c>
      <c r="I82" s="323">
        <v>26316</v>
      </c>
      <c r="J82" s="323">
        <v>25905</v>
      </c>
      <c r="K82" s="323">
        <v>10023</v>
      </c>
      <c r="L82" s="323">
        <v>7348</v>
      </c>
      <c r="M82" s="323">
        <v>4563</v>
      </c>
      <c r="N82" s="323">
        <v>4936</v>
      </c>
      <c r="O82" s="323">
        <v>5510</v>
      </c>
      <c r="P82" s="323">
        <v>6218</v>
      </c>
      <c r="Q82" s="323">
        <v>6550</v>
      </c>
      <c r="R82" s="323">
        <v>6942</v>
      </c>
      <c r="S82" s="323">
        <v>7199</v>
      </c>
      <c r="T82" s="323">
        <v>4781</v>
      </c>
      <c r="U82" s="323">
        <v>6563</v>
      </c>
      <c r="V82" s="326">
        <v>6810</v>
      </c>
      <c r="W82" s="323">
        <v>8420</v>
      </c>
      <c r="X82" s="326">
        <v>5714</v>
      </c>
      <c r="Y82" s="326">
        <v>8670</v>
      </c>
      <c r="Z82" s="326">
        <v>10064</v>
      </c>
      <c r="AA82" s="326">
        <v>14023</v>
      </c>
      <c r="AB82" s="326">
        <v>15281</v>
      </c>
      <c r="AC82" s="326">
        <v>18598</v>
      </c>
      <c r="AD82" s="326">
        <v>19550</v>
      </c>
      <c r="AE82" s="326">
        <v>14457</v>
      </c>
      <c r="AF82" s="326">
        <v>12693</v>
      </c>
      <c r="AG82" s="326">
        <v>12953</v>
      </c>
      <c r="AH82" s="326">
        <v>20905</v>
      </c>
      <c r="AI82" s="326">
        <v>14965</v>
      </c>
      <c r="AJ82" s="326">
        <v>9518</v>
      </c>
      <c r="AK82" s="326">
        <v>8183</v>
      </c>
      <c r="AL82" s="326">
        <v>5668</v>
      </c>
      <c r="AM82" s="326">
        <v>7324</v>
      </c>
      <c r="AN82" s="326">
        <v>7901</v>
      </c>
      <c r="AO82" s="326">
        <v>7588</v>
      </c>
      <c r="AP82" s="326">
        <v>7450</v>
      </c>
      <c r="AQ82" s="326">
        <v>9949</v>
      </c>
      <c r="AR82" s="326">
        <v>9951</v>
      </c>
      <c r="AS82" s="326">
        <v>10251</v>
      </c>
      <c r="AT82" s="326">
        <v>8827</v>
      </c>
      <c r="AU82" s="326">
        <v>8288</v>
      </c>
      <c r="AV82" s="326">
        <v>13269</v>
      </c>
      <c r="AW82" s="326">
        <v>10273</v>
      </c>
      <c r="AX82" s="326">
        <v>12376</v>
      </c>
      <c r="AY82" s="326">
        <v>7288</v>
      </c>
      <c r="AZ82" s="326">
        <v>3746</v>
      </c>
      <c r="BA82" s="326">
        <v>3668</v>
      </c>
    </row>
    <row r="83" spans="1:53" s="99" customFormat="1" x14ac:dyDescent="0.25">
      <c r="A83" s="311" t="s">
        <v>156</v>
      </c>
      <c r="B83" s="322">
        <v>27800</v>
      </c>
      <c r="C83" s="322">
        <v>29860</v>
      </c>
      <c r="D83" s="322">
        <v>19124</v>
      </c>
      <c r="E83" s="322">
        <v>26723.8</v>
      </c>
      <c r="F83" s="322">
        <v>18990</v>
      </c>
      <c r="G83" s="322">
        <v>15077</v>
      </c>
      <c r="H83" s="322">
        <v>13284</v>
      </c>
      <c r="I83" s="322">
        <v>12241</v>
      </c>
      <c r="J83" s="322">
        <v>104145</v>
      </c>
      <c r="K83" s="322">
        <v>10756</v>
      </c>
      <c r="L83" s="322">
        <v>20153</v>
      </c>
      <c r="M83" s="322">
        <v>13351</v>
      </c>
      <c r="N83" s="322">
        <v>10386</v>
      </c>
      <c r="O83" s="322">
        <v>15597</v>
      </c>
      <c r="P83" s="322">
        <v>14221</v>
      </c>
      <c r="Q83" s="322">
        <v>8581</v>
      </c>
      <c r="R83" s="322">
        <v>14017</v>
      </c>
      <c r="S83" s="322">
        <v>7485</v>
      </c>
      <c r="T83" s="322">
        <v>11236</v>
      </c>
      <c r="U83" s="322">
        <v>6733</v>
      </c>
      <c r="V83" s="171">
        <v>10369</v>
      </c>
      <c r="W83" s="322">
        <v>21639</v>
      </c>
      <c r="X83" s="171">
        <v>8715</v>
      </c>
      <c r="Y83" s="171">
        <v>5350</v>
      </c>
      <c r="Z83" s="171">
        <v>6243</v>
      </c>
      <c r="AA83" s="171">
        <v>5277</v>
      </c>
      <c r="AB83" s="171">
        <v>23030</v>
      </c>
      <c r="AC83" s="171">
        <v>4157</v>
      </c>
      <c r="AD83" s="171">
        <v>14016</v>
      </c>
      <c r="AE83" s="171">
        <v>3969</v>
      </c>
      <c r="AF83" s="171">
        <v>2514</v>
      </c>
      <c r="AG83" s="171">
        <v>5534</v>
      </c>
      <c r="AH83" s="171">
        <v>4776</v>
      </c>
      <c r="AI83" s="171">
        <v>4363</v>
      </c>
      <c r="AJ83" s="171">
        <v>4786</v>
      </c>
      <c r="AK83" s="171">
        <v>6276</v>
      </c>
      <c r="AL83" s="171">
        <v>5688</v>
      </c>
      <c r="AM83" s="171">
        <v>2263</v>
      </c>
      <c r="AN83" s="171">
        <v>6161</v>
      </c>
      <c r="AO83" s="171">
        <v>3422</v>
      </c>
      <c r="AP83" s="171">
        <v>4037</v>
      </c>
      <c r="AQ83" s="171">
        <v>11655</v>
      </c>
      <c r="AR83" s="171">
        <v>4057</v>
      </c>
      <c r="AS83" s="171">
        <v>4376</v>
      </c>
      <c r="AT83" s="171">
        <v>4383</v>
      </c>
      <c r="AU83" s="171">
        <v>5756</v>
      </c>
      <c r="AV83" s="171">
        <v>7297</v>
      </c>
      <c r="AW83" s="171">
        <v>3281</v>
      </c>
      <c r="AX83" s="171">
        <v>4722</v>
      </c>
      <c r="AY83" s="171">
        <v>4740</v>
      </c>
      <c r="AZ83" s="171">
        <v>3461</v>
      </c>
      <c r="BA83" s="171">
        <v>3272</v>
      </c>
    </row>
    <row r="84" spans="1:53" s="99" customFormat="1" x14ac:dyDescent="0.25">
      <c r="A84" s="312"/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5"/>
      <c r="W84" s="324"/>
      <c r="X84" s="325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</row>
    <row r="85" spans="1:53" s="99" customFormat="1" x14ac:dyDescent="0.25">
      <c r="A85" s="18" t="s">
        <v>157</v>
      </c>
      <c r="B85" s="316">
        <f>SUM(B79:B84)</f>
        <v>84791.5</v>
      </c>
      <c r="C85" s="316">
        <f t="shared" ref="C85:D85" si="69">SUM(C79:C84)</f>
        <v>77770</v>
      </c>
      <c r="D85" s="316">
        <f t="shared" si="69"/>
        <v>86253</v>
      </c>
      <c r="E85" s="316">
        <f>SUM(E79:E84)</f>
        <v>78687.8</v>
      </c>
      <c r="F85" s="316">
        <f>SUM(F79:F84)</f>
        <v>64072</v>
      </c>
      <c r="G85" s="316">
        <f>SUM(G79:G84)</f>
        <v>57665</v>
      </c>
      <c r="H85" s="316">
        <f t="shared" ref="H85:L85" si="70">SUM(H79:H84)</f>
        <v>58911</v>
      </c>
      <c r="I85" s="316">
        <f t="shared" si="70"/>
        <v>91953</v>
      </c>
      <c r="J85" s="316">
        <f t="shared" si="70"/>
        <v>156232</v>
      </c>
      <c r="K85" s="316">
        <f t="shared" si="70"/>
        <v>34855</v>
      </c>
      <c r="L85" s="316">
        <f t="shared" si="70"/>
        <v>57091</v>
      </c>
      <c r="M85" s="316">
        <f t="shared" ref="M85:BA85" si="71">SUM(M79:M84)</f>
        <v>36989</v>
      </c>
      <c r="N85" s="316">
        <f t="shared" si="71"/>
        <v>17184</v>
      </c>
      <c r="O85" s="316">
        <f t="shared" si="71"/>
        <v>35555</v>
      </c>
      <c r="P85" s="316">
        <f t="shared" si="71"/>
        <v>41011</v>
      </c>
      <c r="Q85" s="316">
        <f t="shared" si="71"/>
        <v>52212</v>
      </c>
      <c r="R85" s="316">
        <f>SUM(R79:R84)</f>
        <v>35108</v>
      </c>
      <c r="S85" s="316">
        <f t="shared" si="71"/>
        <v>28648</v>
      </c>
      <c r="T85" s="316">
        <f t="shared" si="71"/>
        <v>29667</v>
      </c>
      <c r="U85" s="316">
        <f t="shared" si="71"/>
        <v>22124</v>
      </c>
      <c r="V85" s="316">
        <f t="shared" si="71"/>
        <v>22514</v>
      </c>
      <c r="W85" s="316">
        <f t="shared" si="71"/>
        <v>41715</v>
      </c>
      <c r="X85" s="316">
        <f t="shared" si="71"/>
        <v>31665</v>
      </c>
      <c r="Y85" s="316">
        <f t="shared" si="71"/>
        <v>20668</v>
      </c>
      <c r="Z85" s="316">
        <f t="shared" si="71"/>
        <v>23698</v>
      </c>
      <c r="AA85" s="316">
        <f t="shared" si="71"/>
        <v>28558</v>
      </c>
      <c r="AB85" s="316">
        <f t="shared" si="71"/>
        <v>43361</v>
      </c>
      <c r="AC85" s="316">
        <f t="shared" si="71"/>
        <v>36527</v>
      </c>
      <c r="AD85" s="316">
        <f t="shared" si="71"/>
        <v>52648</v>
      </c>
      <c r="AE85" s="316">
        <f t="shared" si="71"/>
        <v>29033</v>
      </c>
      <c r="AF85" s="316">
        <f t="shared" si="71"/>
        <v>73542</v>
      </c>
      <c r="AG85" s="316">
        <f t="shared" si="71"/>
        <v>47027</v>
      </c>
      <c r="AH85" s="316">
        <f t="shared" si="71"/>
        <v>32992</v>
      </c>
      <c r="AI85" s="316">
        <f t="shared" si="71"/>
        <v>42533</v>
      </c>
      <c r="AJ85" s="317">
        <f t="shared" si="71"/>
        <v>15445</v>
      </c>
      <c r="AK85" s="317">
        <f t="shared" si="71"/>
        <v>30585</v>
      </c>
      <c r="AL85" s="317">
        <f t="shared" si="71"/>
        <v>18054</v>
      </c>
      <c r="AM85" s="317">
        <f t="shared" si="71"/>
        <v>11852</v>
      </c>
      <c r="AN85" s="317">
        <f t="shared" si="71"/>
        <v>24845</v>
      </c>
      <c r="AO85" s="317">
        <f t="shared" si="71"/>
        <v>22924</v>
      </c>
      <c r="AP85" s="317">
        <f t="shared" si="71"/>
        <v>16144</v>
      </c>
      <c r="AQ85" s="317">
        <f t="shared" si="71"/>
        <v>25563</v>
      </c>
      <c r="AR85" s="317">
        <f t="shared" si="71"/>
        <v>21873</v>
      </c>
      <c r="AS85" s="317">
        <f t="shared" si="71"/>
        <v>22255</v>
      </c>
      <c r="AT85" s="317">
        <f t="shared" si="71"/>
        <v>29709</v>
      </c>
      <c r="AU85" s="317">
        <f t="shared" si="71"/>
        <v>46540</v>
      </c>
      <c r="AV85" s="317">
        <f t="shared" si="71"/>
        <v>28297</v>
      </c>
      <c r="AW85" s="317">
        <f t="shared" si="71"/>
        <v>30171</v>
      </c>
      <c r="AX85" s="317">
        <f t="shared" si="71"/>
        <v>26567</v>
      </c>
      <c r="AY85" s="317">
        <f t="shared" si="71"/>
        <v>24639</v>
      </c>
      <c r="AZ85" s="317">
        <f t="shared" si="71"/>
        <v>24848</v>
      </c>
      <c r="BA85" s="317">
        <f t="shared" si="71"/>
        <v>20279</v>
      </c>
    </row>
    <row r="86" spans="1:53" s="99" customFormat="1" x14ac:dyDescent="0.25">
      <c r="A86" s="311"/>
      <c r="B86" s="17"/>
      <c r="C86" s="17"/>
      <c r="D86" s="17"/>
      <c r="E86" s="17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7"/>
      <c r="W86" s="16"/>
      <c r="X86" s="17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</row>
    <row r="87" spans="1:53" s="99" customFormat="1" x14ac:dyDescent="0.25">
      <c r="A87" s="18" t="s">
        <v>131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</row>
    <row r="88" spans="1:53" s="102" customFormat="1" x14ac:dyDescent="0.25">
      <c r="A88" s="315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19"/>
      <c r="W88" s="320"/>
      <c r="X88" s="319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</row>
    <row r="89" spans="1:53" s="99" customFormat="1" x14ac:dyDescent="0.25">
      <c r="A89" s="311" t="s">
        <v>52</v>
      </c>
      <c r="B89" s="322">
        <v>-21475</v>
      </c>
      <c r="C89" s="322">
        <v>-15196</v>
      </c>
      <c r="D89" s="322">
        <v>-25526</v>
      </c>
      <c r="E89" s="322">
        <v>-36891.199999999997</v>
      </c>
      <c r="F89" s="322">
        <v>-24784</v>
      </c>
      <c r="G89" s="322">
        <v>-15876</v>
      </c>
      <c r="H89" s="322">
        <v>-51581</v>
      </c>
      <c r="I89" s="322">
        <v>-32959</v>
      </c>
      <c r="J89" s="322">
        <v>-46256</v>
      </c>
      <c r="K89" s="322">
        <v>-49574</v>
      </c>
      <c r="L89" s="322">
        <v>-21440</v>
      </c>
      <c r="M89" s="322">
        <v>-24867</v>
      </c>
      <c r="N89" s="322">
        <v>-23957</v>
      </c>
      <c r="O89" s="322">
        <v>-12110</v>
      </c>
      <c r="P89" s="322">
        <v>-1790</v>
      </c>
      <c r="Q89" s="322">
        <v>-19294</v>
      </c>
      <c r="R89" s="322">
        <v>-10306</v>
      </c>
      <c r="S89" s="322">
        <v>-8281</v>
      </c>
      <c r="T89" s="322">
        <v>-15993</v>
      </c>
      <c r="U89" s="322">
        <v>-14329</v>
      </c>
      <c r="V89" s="171">
        <v>-11667.7</v>
      </c>
      <c r="W89" s="322">
        <v>-17777</v>
      </c>
      <c r="X89" s="171">
        <v>-11181</v>
      </c>
      <c r="Y89" s="171">
        <v>-15272</v>
      </c>
      <c r="Z89" s="171">
        <v>-12802</v>
      </c>
      <c r="AA89" s="171">
        <v>-10126</v>
      </c>
      <c r="AB89" s="171">
        <v>-17997</v>
      </c>
      <c r="AC89" s="171">
        <v>-16567</v>
      </c>
      <c r="AD89" s="171">
        <v>-34118</v>
      </c>
      <c r="AE89" s="171">
        <v>-15726</v>
      </c>
      <c r="AF89" s="171">
        <v>-18660</v>
      </c>
      <c r="AG89" s="171">
        <v>-27949</v>
      </c>
      <c r="AH89" s="171">
        <v>-20525</v>
      </c>
      <c r="AI89" s="171">
        <v>-15218</v>
      </c>
      <c r="AJ89" s="171">
        <v>-21194</v>
      </c>
      <c r="AK89" s="171">
        <v>-22867</v>
      </c>
      <c r="AL89" s="171">
        <v>-11295</v>
      </c>
      <c r="AM89" s="171">
        <v>-5821</v>
      </c>
      <c r="AN89" s="171">
        <v>-14282</v>
      </c>
      <c r="AO89" s="171">
        <v>-13978</v>
      </c>
      <c r="AP89" s="171">
        <v>-18680</v>
      </c>
      <c r="AQ89" s="171">
        <v>-6671</v>
      </c>
      <c r="AR89" s="171">
        <v>-18309</v>
      </c>
      <c r="AS89" s="171">
        <v>-14376</v>
      </c>
      <c r="AT89" s="171">
        <v>-11031</v>
      </c>
      <c r="AU89" s="171">
        <v>-25246</v>
      </c>
      <c r="AV89" s="171">
        <v>-9583</v>
      </c>
      <c r="AW89" s="171">
        <v>-9742</v>
      </c>
      <c r="AX89" s="171">
        <v>-7531</v>
      </c>
      <c r="AY89" s="171">
        <v>-9442</v>
      </c>
      <c r="AZ89" s="171">
        <v>-7936</v>
      </c>
      <c r="BA89" s="171">
        <v>-7961</v>
      </c>
    </row>
    <row r="90" spans="1:53" s="99" customFormat="1" x14ac:dyDescent="0.25">
      <c r="A90" s="309" t="s">
        <v>53</v>
      </c>
      <c r="B90" s="323">
        <v>-9288</v>
      </c>
      <c r="C90" s="323">
        <v>-8542</v>
      </c>
      <c r="D90" s="323">
        <v>-24</v>
      </c>
      <c r="E90" s="323">
        <v>-3108</v>
      </c>
      <c r="F90" s="323">
        <v>-14487</v>
      </c>
      <c r="G90" s="323">
        <v>-2963</v>
      </c>
      <c r="H90" s="323">
        <v>-14559</v>
      </c>
      <c r="I90" s="323">
        <v>0</v>
      </c>
      <c r="J90" s="323">
        <v>-8727</v>
      </c>
      <c r="K90" s="323">
        <v>-14277</v>
      </c>
      <c r="L90" s="323">
        <v>10454</v>
      </c>
      <c r="M90" s="323">
        <v>-17643</v>
      </c>
      <c r="N90" s="323">
        <v>21522</v>
      </c>
      <c r="O90" s="323">
        <v>-23032</v>
      </c>
      <c r="P90" s="323">
        <v>-24207</v>
      </c>
      <c r="Q90" s="323">
        <v>-82639</v>
      </c>
      <c r="R90" s="323">
        <v>-1549</v>
      </c>
      <c r="S90" s="323">
        <v>-11227</v>
      </c>
      <c r="T90" s="323">
        <v>119</v>
      </c>
      <c r="U90" s="323">
        <v>-870</v>
      </c>
      <c r="V90" s="326">
        <v>18202.48</v>
      </c>
      <c r="W90" s="323">
        <v>-14471</v>
      </c>
      <c r="X90" s="326">
        <v>-39244</v>
      </c>
      <c r="Y90" s="326">
        <v>-7284</v>
      </c>
      <c r="Z90" s="326">
        <v>-13455</v>
      </c>
      <c r="AA90" s="326">
        <v>1116</v>
      </c>
      <c r="AB90" s="326">
        <v>-21294</v>
      </c>
      <c r="AC90" s="326">
        <v>-1992</v>
      </c>
      <c r="AD90" s="326">
        <v>430</v>
      </c>
      <c r="AE90" s="326">
        <v>301</v>
      </c>
      <c r="AF90" s="326">
        <v>-7401</v>
      </c>
      <c r="AG90" s="326">
        <v>-6638</v>
      </c>
      <c r="AH90" s="326">
        <v>16297</v>
      </c>
      <c r="AI90" s="326">
        <v>-95927</v>
      </c>
      <c r="AJ90" s="326">
        <v>1716</v>
      </c>
      <c r="AK90" s="326">
        <v>-29193</v>
      </c>
      <c r="AL90" s="326">
        <v>-4970</v>
      </c>
      <c r="AM90" s="326">
        <v>651</v>
      </c>
      <c r="AN90" s="326">
        <v>-1352</v>
      </c>
      <c r="AO90" s="326">
        <v>-1253</v>
      </c>
      <c r="AP90" s="326" t="s">
        <v>0</v>
      </c>
      <c r="AQ90" s="326" t="s">
        <v>0</v>
      </c>
      <c r="AR90" s="326" t="s">
        <v>0</v>
      </c>
      <c r="AS90" s="326" t="s">
        <v>0</v>
      </c>
      <c r="AT90" s="326" t="s">
        <v>0</v>
      </c>
      <c r="AU90" s="326" t="s">
        <v>0</v>
      </c>
      <c r="AV90" s="326" t="s">
        <v>0</v>
      </c>
      <c r="AW90" s="326" t="s">
        <v>0</v>
      </c>
      <c r="AX90" s="326" t="s">
        <v>0</v>
      </c>
      <c r="AY90" s="326" t="s">
        <v>0</v>
      </c>
      <c r="AZ90" s="326" t="s">
        <v>0</v>
      </c>
      <c r="BA90" s="326" t="s">
        <v>0</v>
      </c>
    </row>
    <row r="91" spans="1:53" s="99" customFormat="1" x14ac:dyDescent="0.25">
      <c r="A91" s="311" t="s">
        <v>25</v>
      </c>
      <c r="B91" s="322">
        <v>-75806</v>
      </c>
      <c r="C91" s="322">
        <v>36905</v>
      </c>
      <c r="D91" s="322">
        <v>-81965</v>
      </c>
      <c r="E91" s="322">
        <v>-87231</v>
      </c>
      <c r="F91" s="322">
        <v>-102196</v>
      </c>
      <c r="G91" s="322">
        <v>-70529</v>
      </c>
      <c r="H91" s="322">
        <v>-72769</v>
      </c>
      <c r="I91" s="322">
        <v>-81193</v>
      </c>
      <c r="J91" s="322">
        <v>-160931</v>
      </c>
      <c r="K91" s="322">
        <v>-60662</v>
      </c>
      <c r="L91" s="322">
        <v>-42938</v>
      </c>
      <c r="M91" s="322">
        <v>-42068</v>
      </c>
      <c r="N91" s="322">
        <v>-39990</v>
      </c>
      <c r="O91" s="322">
        <v>-38210</v>
      </c>
      <c r="P91" s="322">
        <v>-34990</v>
      </c>
      <c r="Q91" s="322">
        <v>-42894</v>
      </c>
      <c r="R91" s="322">
        <v>-45645</v>
      </c>
      <c r="S91" s="322">
        <v>-48275</v>
      </c>
      <c r="T91" s="322">
        <v>-44403</v>
      </c>
      <c r="U91" s="322">
        <v>-48223</v>
      </c>
      <c r="V91" s="171">
        <v>-49481.7</v>
      </c>
      <c r="W91" s="322">
        <v>-50580</v>
      </c>
      <c r="X91" s="171">
        <v>-45312</v>
      </c>
      <c r="Y91" s="171">
        <v>-48688</v>
      </c>
      <c r="Z91" s="171">
        <v>-53233</v>
      </c>
      <c r="AA91" s="171">
        <v>-54999</v>
      </c>
      <c r="AB91" s="171">
        <v>-61955</v>
      </c>
      <c r="AC91" s="171">
        <v>-68697</v>
      </c>
      <c r="AD91" s="171">
        <v>-69965</v>
      </c>
      <c r="AE91" s="171">
        <v>-71851</v>
      </c>
      <c r="AF91" s="171">
        <v>-71843</v>
      </c>
      <c r="AG91" s="171">
        <v>-79137</v>
      </c>
      <c r="AH91" s="171">
        <v>-79027</v>
      </c>
      <c r="AI91" s="171">
        <v>-73611</v>
      </c>
      <c r="AJ91" s="171">
        <v>-64387</v>
      </c>
      <c r="AK91" s="171">
        <v>-59744</v>
      </c>
      <c r="AL91" s="171">
        <v>-52310</v>
      </c>
      <c r="AM91" s="171">
        <v>-53512</v>
      </c>
      <c r="AN91" s="171">
        <v>-52721</v>
      </c>
      <c r="AO91" s="171">
        <v>-51755</v>
      </c>
      <c r="AP91" s="171">
        <v>-44472</v>
      </c>
      <c r="AQ91" s="171">
        <v>-45767</v>
      </c>
      <c r="AR91" s="171">
        <v>-46241</v>
      </c>
      <c r="AS91" s="171">
        <v>-45001</v>
      </c>
      <c r="AT91" s="171">
        <v>-46876</v>
      </c>
      <c r="AU91" s="171">
        <v>-43695</v>
      </c>
      <c r="AV91" s="171">
        <v>-53984</v>
      </c>
      <c r="AW91" s="171">
        <v>-49891</v>
      </c>
      <c r="AX91" s="171">
        <v>-48139</v>
      </c>
      <c r="AY91" s="171">
        <v>-38730</v>
      </c>
      <c r="AZ91" s="171">
        <v>-31059</v>
      </c>
      <c r="BA91" s="171">
        <v>-30030</v>
      </c>
    </row>
    <row r="92" spans="1:53" s="99" customFormat="1" x14ac:dyDescent="0.25">
      <c r="A92" s="309" t="s">
        <v>6</v>
      </c>
      <c r="B92" s="323">
        <v>-255</v>
      </c>
      <c r="C92" s="323">
        <v>-183</v>
      </c>
      <c r="D92" s="323">
        <v>-478</v>
      </c>
      <c r="E92" s="323">
        <v>-525.1</v>
      </c>
      <c r="F92" s="323">
        <v>-3</v>
      </c>
      <c r="G92" s="323">
        <v>-77</v>
      </c>
      <c r="H92" s="323">
        <v>-28</v>
      </c>
      <c r="I92" s="323">
        <v>-156</v>
      </c>
      <c r="J92" s="323">
        <v>-35</v>
      </c>
      <c r="K92" s="323">
        <v>-507</v>
      </c>
      <c r="L92" s="323">
        <v>-98</v>
      </c>
      <c r="M92" s="323">
        <v>-180</v>
      </c>
      <c r="N92" s="323">
        <v>-155</v>
      </c>
      <c r="O92" s="323">
        <v>-41</v>
      </c>
      <c r="P92" s="323">
        <v>-75</v>
      </c>
      <c r="Q92" s="323">
        <v>-73</v>
      </c>
      <c r="R92" s="323">
        <v>-25</v>
      </c>
      <c r="S92" s="323">
        <v>-55</v>
      </c>
      <c r="T92" s="323">
        <v>-209</v>
      </c>
      <c r="U92" s="323">
        <v>-171</v>
      </c>
      <c r="V92" s="326">
        <v>-14376</v>
      </c>
      <c r="W92" s="323">
        <v>-559</v>
      </c>
      <c r="X92" s="326">
        <v>-205</v>
      </c>
      <c r="Y92" s="326">
        <v>-371</v>
      </c>
      <c r="Z92" s="326">
        <v>-131</v>
      </c>
      <c r="AA92" s="326">
        <v>-85</v>
      </c>
      <c r="AB92" s="326">
        <v>-12</v>
      </c>
      <c r="AC92" s="326">
        <v>-176</v>
      </c>
      <c r="AD92" s="326">
        <v>-120</v>
      </c>
      <c r="AE92" s="326">
        <v>-233</v>
      </c>
      <c r="AF92" s="326">
        <v>-475</v>
      </c>
      <c r="AG92" s="326">
        <v>-70</v>
      </c>
      <c r="AH92" s="326">
        <v>-186</v>
      </c>
      <c r="AI92" s="326">
        <v>-233</v>
      </c>
      <c r="AJ92" s="326">
        <v>-431</v>
      </c>
      <c r="AK92" s="326">
        <v>-95</v>
      </c>
      <c r="AL92" s="326">
        <v>-111</v>
      </c>
      <c r="AM92" s="326">
        <v>-1571</v>
      </c>
      <c r="AN92" s="326">
        <v>-102</v>
      </c>
      <c r="AO92" s="326">
        <v>-103</v>
      </c>
      <c r="AP92" s="326">
        <v>-1052</v>
      </c>
      <c r="AQ92" s="326">
        <v>-3406</v>
      </c>
      <c r="AR92" s="326">
        <v>-525</v>
      </c>
      <c r="AS92" s="326">
        <v>-104</v>
      </c>
      <c r="AT92" s="326">
        <v>-3797</v>
      </c>
      <c r="AU92" s="326">
        <v>-1010</v>
      </c>
      <c r="AV92" s="326">
        <v>-1058</v>
      </c>
      <c r="AW92" s="326">
        <v>-1456</v>
      </c>
      <c r="AX92" s="326">
        <v>-1460</v>
      </c>
      <c r="AY92" s="326">
        <v>-780</v>
      </c>
      <c r="AZ92" s="326">
        <v>-674</v>
      </c>
      <c r="BA92" s="326">
        <v>-1446</v>
      </c>
    </row>
    <row r="93" spans="1:53" s="99" customFormat="1" x14ac:dyDescent="0.25">
      <c r="A93" s="31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7"/>
      <c r="W93" s="16"/>
      <c r="X93" s="17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</row>
    <row r="94" spans="1:53" s="99" customFormat="1" x14ac:dyDescent="0.25">
      <c r="A94" s="18" t="s">
        <v>158</v>
      </c>
      <c r="B94" s="316">
        <f>SUM(B89:B93)</f>
        <v>-106824</v>
      </c>
      <c r="C94" s="316">
        <f t="shared" ref="C94:D94" si="72">SUM(C89:C93)</f>
        <v>12984</v>
      </c>
      <c r="D94" s="316">
        <f t="shared" si="72"/>
        <v>-107993</v>
      </c>
      <c r="E94" s="316">
        <f t="shared" ref="E94:L94" si="73">SUM(E89:E93)</f>
        <v>-127755.3</v>
      </c>
      <c r="F94" s="316">
        <f t="shared" si="73"/>
        <v>-141470</v>
      </c>
      <c r="G94" s="316">
        <f t="shared" si="73"/>
        <v>-89445</v>
      </c>
      <c r="H94" s="316">
        <f t="shared" si="73"/>
        <v>-138937</v>
      </c>
      <c r="I94" s="316">
        <f t="shared" si="73"/>
        <v>-114308</v>
      </c>
      <c r="J94" s="316">
        <f t="shared" si="73"/>
        <v>-215949</v>
      </c>
      <c r="K94" s="316">
        <f t="shared" si="73"/>
        <v>-125020</v>
      </c>
      <c r="L94" s="316">
        <f t="shared" si="73"/>
        <v>-54022</v>
      </c>
      <c r="M94" s="316">
        <f t="shared" ref="M94:BA94" si="74">SUM(M89:M93)</f>
        <v>-84758</v>
      </c>
      <c r="N94" s="316">
        <f t="shared" si="74"/>
        <v>-42580</v>
      </c>
      <c r="O94" s="316">
        <f t="shared" si="74"/>
        <v>-73393</v>
      </c>
      <c r="P94" s="316">
        <f t="shared" si="74"/>
        <v>-61062</v>
      </c>
      <c r="Q94" s="316">
        <f t="shared" si="74"/>
        <v>-144900</v>
      </c>
      <c r="R94" s="316">
        <f t="shared" si="74"/>
        <v>-57525</v>
      </c>
      <c r="S94" s="316">
        <f t="shared" si="74"/>
        <v>-67838</v>
      </c>
      <c r="T94" s="316">
        <f t="shared" si="74"/>
        <v>-60486</v>
      </c>
      <c r="U94" s="316">
        <f t="shared" si="74"/>
        <v>-63593</v>
      </c>
      <c r="V94" s="316">
        <f t="shared" si="74"/>
        <v>-57322.92</v>
      </c>
      <c r="W94" s="316">
        <f t="shared" si="74"/>
        <v>-83387</v>
      </c>
      <c r="X94" s="316">
        <f t="shared" si="74"/>
        <v>-95942</v>
      </c>
      <c r="Y94" s="316">
        <f t="shared" si="74"/>
        <v>-71615</v>
      </c>
      <c r="Z94" s="316">
        <f t="shared" si="74"/>
        <v>-79621</v>
      </c>
      <c r="AA94" s="316">
        <f t="shared" si="74"/>
        <v>-64094</v>
      </c>
      <c r="AB94" s="316">
        <f t="shared" si="74"/>
        <v>-101258</v>
      </c>
      <c r="AC94" s="316">
        <f t="shared" si="74"/>
        <v>-87432</v>
      </c>
      <c r="AD94" s="316">
        <f t="shared" si="74"/>
        <v>-103773</v>
      </c>
      <c r="AE94" s="316">
        <f t="shared" si="74"/>
        <v>-87509</v>
      </c>
      <c r="AF94" s="316">
        <f t="shared" si="74"/>
        <v>-98379</v>
      </c>
      <c r="AG94" s="316">
        <f t="shared" si="74"/>
        <v>-113794</v>
      </c>
      <c r="AH94" s="316">
        <f t="shared" si="74"/>
        <v>-83441</v>
      </c>
      <c r="AI94" s="316">
        <f t="shared" si="74"/>
        <v>-184989</v>
      </c>
      <c r="AJ94" s="317">
        <f t="shared" si="74"/>
        <v>-84296</v>
      </c>
      <c r="AK94" s="317">
        <f t="shared" si="74"/>
        <v>-111899</v>
      </c>
      <c r="AL94" s="317">
        <f t="shared" si="74"/>
        <v>-68686</v>
      </c>
      <c r="AM94" s="317">
        <f t="shared" si="74"/>
        <v>-60253</v>
      </c>
      <c r="AN94" s="317">
        <f t="shared" si="74"/>
        <v>-68457</v>
      </c>
      <c r="AO94" s="317">
        <f t="shared" si="74"/>
        <v>-67089</v>
      </c>
      <c r="AP94" s="317">
        <f t="shared" si="74"/>
        <v>-64204</v>
      </c>
      <c r="AQ94" s="317">
        <f t="shared" si="74"/>
        <v>-55844</v>
      </c>
      <c r="AR94" s="317">
        <f t="shared" si="74"/>
        <v>-65075</v>
      </c>
      <c r="AS94" s="317">
        <f t="shared" si="74"/>
        <v>-59481</v>
      </c>
      <c r="AT94" s="317">
        <f t="shared" si="74"/>
        <v>-61704</v>
      </c>
      <c r="AU94" s="317">
        <f t="shared" si="74"/>
        <v>-69951</v>
      </c>
      <c r="AV94" s="317">
        <f t="shared" si="74"/>
        <v>-64625</v>
      </c>
      <c r="AW94" s="317">
        <f t="shared" si="74"/>
        <v>-61089</v>
      </c>
      <c r="AX94" s="317">
        <f t="shared" si="74"/>
        <v>-57130</v>
      </c>
      <c r="AY94" s="317">
        <f t="shared" si="74"/>
        <v>-48952</v>
      </c>
      <c r="AZ94" s="317">
        <f t="shared" si="74"/>
        <v>-39669</v>
      </c>
      <c r="BA94" s="317">
        <f t="shared" si="74"/>
        <v>-39437</v>
      </c>
    </row>
    <row r="95" spans="1:53" s="99" customFormat="1" x14ac:dyDescent="0.25">
      <c r="A95" s="313"/>
      <c r="B95" s="17"/>
      <c r="C95" s="17"/>
      <c r="D95" s="17"/>
      <c r="E95" s="17"/>
      <c r="F95" s="17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7"/>
      <c r="W95" s="16"/>
      <c r="X95" s="17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</row>
    <row r="96" spans="1:53" s="99" customFormat="1" x14ac:dyDescent="0.25">
      <c r="A96" s="18" t="s">
        <v>252</v>
      </c>
      <c r="B96" s="316">
        <f t="shared" ref="B96:D96" si="75">B85+B94</f>
        <v>-22032.5</v>
      </c>
      <c r="C96" s="316">
        <f t="shared" si="75"/>
        <v>90754</v>
      </c>
      <c r="D96" s="316">
        <f t="shared" si="75"/>
        <v>-21740</v>
      </c>
      <c r="E96" s="316">
        <f>E85+E94</f>
        <v>-49067.5</v>
      </c>
      <c r="F96" s="316">
        <f>F85+F94</f>
        <v>-77398</v>
      </c>
      <c r="G96" s="316">
        <f t="shared" ref="G96:L96" si="76">G85+G94</f>
        <v>-31780</v>
      </c>
      <c r="H96" s="316">
        <f t="shared" si="76"/>
        <v>-80026</v>
      </c>
      <c r="I96" s="316">
        <f t="shared" si="76"/>
        <v>-22355</v>
      </c>
      <c r="J96" s="316">
        <f t="shared" si="76"/>
        <v>-59717</v>
      </c>
      <c r="K96" s="316">
        <f t="shared" si="76"/>
        <v>-90165</v>
      </c>
      <c r="L96" s="316">
        <f t="shared" si="76"/>
        <v>3069</v>
      </c>
      <c r="M96" s="316">
        <f t="shared" ref="M96:S96" si="77">M85+M94</f>
        <v>-47769</v>
      </c>
      <c r="N96" s="316">
        <f t="shared" si="77"/>
        <v>-25396</v>
      </c>
      <c r="O96" s="316">
        <f t="shared" si="77"/>
        <v>-37838</v>
      </c>
      <c r="P96" s="316">
        <f t="shared" si="77"/>
        <v>-20051</v>
      </c>
      <c r="Q96" s="316">
        <f t="shared" si="77"/>
        <v>-92688</v>
      </c>
      <c r="R96" s="316">
        <f t="shared" si="77"/>
        <v>-22417</v>
      </c>
      <c r="S96" s="316">
        <f t="shared" si="77"/>
        <v>-39190</v>
      </c>
      <c r="T96" s="316">
        <f>T94+T85</f>
        <v>-30819</v>
      </c>
      <c r="U96" s="316">
        <f t="shared" ref="U96:BA96" si="78">U94+U85</f>
        <v>-41469</v>
      </c>
      <c r="V96" s="316">
        <f t="shared" si="78"/>
        <v>-34808.92</v>
      </c>
      <c r="W96" s="316">
        <f t="shared" si="78"/>
        <v>-41672</v>
      </c>
      <c r="X96" s="316">
        <f t="shared" si="78"/>
        <v>-64277</v>
      </c>
      <c r="Y96" s="316">
        <f t="shared" si="78"/>
        <v>-50947</v>
      </c>
      <c r="Z96" s="316">
        <f t="shared" si="78"/>
        <v>-55923</v>
      </c>
      <c r="AA96" s="316">
        <f t="shared" si="78"/>
        <v>-35536</v>
      </c>
      <c r="AB96" s="316">
        <f t="shared" si="78"/>
        <v>-57897</v>
      </c>
      <c r="AC96" s="316">
        <f t="shared" si="78"/>
        <v>-50905</v>
      </c>
      <c r="AD96" s="316">
        <f t="shared" si="78"/>
        <v>-51125</v>
      </c>
      <c r="AE96" s="316">
        <f t="shared" si="78"/>
        <v>-58476</v>
      </c>
      <c r="AF96" s="316">
        <f t="shared" si="78"/>
        <v>-24837</v>
      </c>
      <c r="AG96" s="316">
        <f t="shared" si="78"/>
        <v>-66767</v>
      </c>
      <c r="AH96" s="316">
        <f t="shared" si="78"/>
        <v>-50449</v>
      </c>
      <c r="AI96" s="316">
        <f t="shared" si="78"/>
        <v>-142456</v>
      </c>
      <c r="AJ96" s="317">
        <f t="shared" si="78"/>
        <v>-68851</v>
      </c>
      <c r="AK96" s="317">
        <f t="shared" si="78"/>
        <v>-81314</v>
      </c>
      <c r="AL96" s="317">
        <f t="shared" si="78"/>
        <v>-50632</v>
      </c>
      <c r="AM96" s="317">
        <f t="shared" si="78"/>
        <v>-48401</v>
      </c>
      <c r="AN96" s="317">
        <f t="shared" si="78"/>
        <v>-43612</v>
      </c>
      <c r="AO96" s="317">
        <f t="shared" si="78"/>
        <v>-44165</v>
      </c>
      <c r="AP96" s="317">
        <f t="shared" si="78"/>
        <v>-48060</v>
      </c>
      <c r="AQ96" s="317">
        <f t="shared" si="78"/>
        <v>-30281</v>
      </c>
      <c r="AR96" s="317">
        <f t="shared" si="78"/>
        <v>-43202</v>
      </c>
      <c r="AS96" s="317">
        <f t="shared" si="78"/>
        <v>-37226</v>
      </c>
      <c r="AT96" s="317">
        <f t="shared" si="78"/>
        <v>-31995</v>
      </c>
      <c r="AU96" s="317">
        <f t="shared" si="78"/>
        <v>-23411</v>
      </c>
      <c r="AV96" s="317">
        <f t="shared" si="78"/>
        <v>-36328</v>
      </c>
      <c r="AW96" s="317">
        <f t="shared" si="78"/>
        <v>-30918</v>
      </c>
      <c r="AX96" s="317">
        <f t="shared" si="78"/>
        <v>-30563</v>
      </c>
      <c r="AY96" s="317">
        <f t="shared" si="78"/>
        <v>-24313</v>
      </c>
      <c r="AZ96" s="317">
        <f t="shared" si="78"/>
        <v>-14821</v>
      </c>
      <c r="BA96" s="317">
        <f t="shared" si="78"/>
        <v>-19158</v>
      </c>
    </row>
    <row r="97" spans="1:53" s="99" customFormat="1" x14ac:dyDescent="0.25">
      <c r="A97" s="23"/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19"/>
      <c r="W97" s="320"/>
      <c r="X97" s="319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</row>
    <row r="98" spans="1:53" s="99" customFormat="1" x14ac:dyDescent="0.25">
      <c r="A98" s="311" t="s">
        <v>487</v>
      </c>
      <c r="B98" s="322">
        <f>B36</f>
        <v>-81746</v>
      </c>
      <c r="C98" s="322">
        <f t="shared" ref="C98:BA98" si="79">C36</f>
        <v>-70959</v>
      </c>
      <c r="D98" s="322">
        <f t="shared" si="79"/>
        <v>-50389</v>
      </c>
      <c r="E98" s="322">
        <f t="shared" si="79"/>
        <v>-102519</v>
      </c>
      <c r="F98" s="322">
        <f t="shared" si="79"/>
        <v>18393</v>
      </c>
      <c r="G98" s="322">
        <f t="shared" si="79"/>
        <v>-87280</v>
      </c>
      <c r="H98" s="322">
        <f t="shared" si="79"/>
        <v>-58065</v>
      </c>
      <c r="I98" s="322">
        <f t="shared" si="79"/>
        <v>0</v>
      </c>
      <c r="J98" s="322">
        <f t="shared" si="79"/>
        <v>-57964</v>
      </c>
      <c r="K98" s="322">
        <f t="shared" si="79"/>
        <v>29121</v>
      </c>
      <c r="L98" s="322">
        <f t="shared" si="79"/>
        <v>-105557</v>
      </c>
      <c r="M98" s="322">
        <f t="shared" si="79"/>
        <v>-123105</v>
      </c>
      <c r="N98" s="322">
        <f t="shared" si="79"/>
        <v>-80199</v>
      </c>
      <c r="O98" s="322">
        <f t="shared" si="79"/>
        <v>-95493</v>
      </c>
      <c r="P98" s="322">
        <f t="shared" si="79"/>
        <v>-83185</v>
      </c>
      <c r="Q98" s="322">
        <f t="shared" si="79"/>
        <v>-90758</v>
      </c>
      <c r="R98" s="322">
        <f t="shared" si="79"/>
        <v>-69562</v>
      </c>
      <c r="S98" s="322">
        <f t="shared" si="79"/>
        <v>-91243</v>
      </c>
      <c r="T98" s="322">
        <f t="shared" si="79"/>
        <v>-66497</v>
      </c>
      <c r="U98" s="322">
        <f t="shared" si="79"/>
        <v>-70867</v>
      </c>
      <c r="V98" s="322">
        <f t="shared" si="79"/>
        <v>-42866</v>
      </c>
      <c r="W98" s="322">
        <f t="shared" si="79"/>
        <v>-37767</v>
      </c>
      <c r="X98" s="322">
        <f t="shared" si="79"/>
        <v>-28711</v>
      </c>
      <c r="Y98" s="322">
        <f t="shared" si="79"/>
        <v>-43828</v>
      </c>
      <c r="Z98" s="322">
        <f t="shared" si="79"/>
        <v>-51221</v>
      </c>
      <c r="AA98" s="322">
        <f t="shared" si="79"/>
        <v>-55721</v>
      </c>
      <c r="AB98" s="322">
        <f t="shared" si="79"/>
        <v>-34888</v>
      </c>
      <c r="AC98" s="322">
        <f t="shared" si="79"/>
        <v>-56432</v>
      </c>
      <c r="AD98" s="322">
        <f t="shared" si="79"/>
        <v>-57705</v>
      </c>
      <c r="AE98" s="322">
        <f t="shared" si="79"/>
        <v>-38251</v>
      </c>
      <c r="AF98" s="322">
        <f t="shared" si="79"/>
        <v>-51422</v>
      </c>
      <c r="AG98" s="322">
        <f t="shared" si="79"/>
        <v>-18493</v>
      </c>
      <c r="AH98" s="322">
        <f t="shared" si="79"/>
        <v>7444</v>
      </c>
      <c r="AI98" s="322">
        <f t="shared" si="79"/>
        <v>939</v>
      </c>
      <c r="AJ98" s="322">
        <f t="shared" si="79"/>
        <v>9762</v>
      </c>
      <c r="AK98" s="322">
        <f t="shared" si="79"/>
        <v>-794</v>
      </c>
      <c r="AL98" s="322">
        <f t="shared" si="79"/>
        <v>-16278</v>
      </c>
      <c r="AM98" s="322">
        <f t="shared" si="79"/>
        <v>-36153</v>
      </c>
      <c r="AN98" s="322">
        <f t="shared" si="79"/>
        <v>-27388</v>
      </c>
      <c r="AO98" s="322">
        <f t="shared" si="79"/>
        <v>-34680</v>
      </c>
      <c r="AP98" s="322">
        <f t="shared" si="79"/>
        <v>-35068</v>
      </c>
      <c r="AQ98" s="322">
        <f t="shared" si="79"/>
        <v>-38068</v>
      </c>
      <c r="AR98" s="322">
        <f t="shared" si="79"/>
        <v>-32836</v>
      </c>
      <c r="AS98" s="322">
        <f t="shared" si="79"/>
        <v>-40390</v>
      </c>
      <c r="AT98" s="322">
        <f t="shared" si="79"/>
        <v>-39988</v>
      </c>
      <c r="AU98" s="322">
        <f t="shared" si="79"/>
        <v>-38874</v>
      </c>
      <c r="AV98" s="322">
        <f t="shared" si="79"/>
        <v>-37174</v>
      </c>
      <c r="AW98" s="322">
        <f t="shared" si="79"/>
        <v>-44070</v>
      </c>
      <c r="AX98" s="322">
        <f t="shared" si="79"/>
        <v>-17231</v>
      </c>
      <c r="AY98" s="322">
        <f t="shared" si="79"/>
        <v>-50462</v>
      </c>
      <c r="AZ98" s="322">
        <f t="shared" si="79"/>
        <v>-46049</v>
      </c>
      <c r="BA98" s="322">
        <f t="shared" si="79"/>
        <v>-64692</v>
      </c>
    </row>
    <row r="99" spans="1:53" s="99" customFormat="1" x14ac:dyDescent="0.25">
      <c r="A99" s="309" t="s">
        <v>488</v>
      </c>
      <c r="B99" s="323">
        <f>B37</f>
        <v>-22837</v>
      </c>
      <c r="C99" s="323">
        <f t="shared" ref="C99:BA99" si="80">C37</f>
        <v>-77080</v>
      </c>
      <c r="D99" s="323">
        <f t="shared" si="80"/>
        <v>-5094</v>
      </c>
      <c r="E99" s="323">
        <f t="shared" si="80"/>
        <v>3698</v>
      </c>
      <c r="F99" s="323">
        <f t="shared" si="80"/>
        <v>-17310</v>
      </c>
      <c r="G99" s="323">
        <f t="shared" si="80"/>
        <v>10802</v>
      </c>
      <c r="H99" s="323">
        <f t="shared" si="80"/>
        <v>2630</v>
      </c>
      <c r="I99" s="323">
        <f t="shared" si="80"/>
        <v>-71762</v>
      </c>
      <c r="J99" s="323">
        <f t="shared" si="80"/>
        <v>71563</v>
      </c>
      <c r="K99" s="323">
        <f t="shared" si="80"/>
        <v>12445</v>
      </c>
      <c r="L99" s="323">
        <f t="shared" si="80"/>
        <v>18268</v>
      </c>
      <c r="M99" s="323">
        <f t="shared" si="80"/>
        <v>38367</v>
      </c>
      <c r="N99" s="323">
        <f t="shared" si="80"/>
        <v>-7426</v>
      </c>
      <c r="O99" s="323">
        <f t="shared" si="80"/>
        <v>8310</v>
      </c>
      <c r="P99" s="323">
        <f t="shared" si="80"/>
        <v>31135</v>
      </c>
      <c r="Q99" s="323">
        <f t="shared" si="80"/>
        <v>28818</v>
      </c>
      <c r="R99" s="323">
        <f t="shared" si="80"/>
        <v>-9808</v>
      </c>
      <c r="S99" s="323">
        <f t="shared" si="80"/>
        <v>19079</v>
      </c>
      <c r="T99" s="323">
        <f t="shared" si="80"/>
        <v>19082</v>
      </c>
      <c r="U99" s="323">
        <f t="shared" si="80"/>
        <v>1886</v>
      </c>
      <c r="V99" s="323">
        <f t="shared" si="80"/>
        <v>0</v>
      </c>
      <c r="W99" s="323">
        <f t="shared" si="80"/>
        <v>0</v>
      </c>
      <c r="X99" s="323">
        <f t="shared" si="80"/>
        <v>0</v>
      </c>
      <c r="Y99" s="323">
        <f t="shared" si="80"/>
        <v>0</v>
      </c>
      <c r="Z99" s="323">
        <f t="shared" si="80"/>
        <v>0</v>
      </c>
      <c r="AA99" s="323">
        <f t="shared" si="80"/>
        <v>0</v>
      </c>
      <c r="AB99" s="323">
        <f t="shared" si="80"/>
        <v>0</v>
      </c>
      <c r="AC99" s="323">
        <f t="shared" si="80"/>
        <v>0</v>
      </c>
      <c r="AD99" s="323">
        <f t="shared" si="80"/>
        <v>0</v>
      </c>
      <c r="AE99" s="323">
        <f t="shared" si="80"/>
        <v>0</v>
      </c>
      <c r="AF99" s="323">
        <f t="shared" si="80"/>
        <v>0</v>
      </c>
      <c r="AG99" s="323">
        <f t="shared" si="80"/>
        <v>0</v>
      </c>
      <c r="AH99" s="323">
        <f t="shared" si="80"/>
        <v>0</v>
      </c>
      <c r="AI99" s="323">
        <f t="shared" si="80"/>
        <v>0</v>
      </c>
      <c r="AJ99" s="323">
        <f t="shared" si="80"/>
        <v>0</v>
      </c>
      <c r="AK99" s="323">
        <f t="shared" si="80"/>
        <v>0</v>
      </c>
      <c r="AL99" s="323">
        <f t="shared" si="80"/>
        <v>0</v>
      </c>
      <c r="AM99" s="323">
        <f t="shared" si="80"/>
        <v>0</v>
      </c>
      <c r="AN99" s="323">
        <f t="shared" si="80"/>
        <v>0</v>
      </c>
      <c r="AO99" s="323">
        <f t="shared" si="80"/>
        <v>0</v>
      </c>
      <c r="AP99" s="323">
        <f t="shared" si="80"/>
        <v>0</v>
      </c>
      <c r="AQ99" s="323">
        <f t="shared" si="80"/>
        <v>0</v>
      </c>
      <c r="AR99" s="323">
        <f t="shared" si="80"/>
        <v>0</v>
      </c>
      <c r="AS99" s="323">
        <f t="shared" si="80"/>
        <v>0</v>
      </c>
      <c r="AT99" s="323">
        <f t="shared" si="80"/>
        <v>0</v>
      </c>
      <c r="AU99" s="323">
        <f t="shared" si="80"/>
        <v>0</v>
      </c>
      <c r="AV99" s="323">
        <f t="shared" si="80"/>
        <v>0</v>
      </c>
      <c r="AW99" s="323">
        <f t="shared" si="80"/>
        <v>0</v>
      </c>
      <c r="AX99" s="323">
        <f t="shared" si="80"/>
        <v>0</v>
      </c>
      <c r="AY99" s="323">
        <f t="shared" si="80"/>
        <v>0</v>
      </c>
      <c r="AZ99" s="323">
        <f t="shared" si="80"/>
        <v>0</v>
      </c>
      <c r="BA99" s="323">
        <f t="shared" si="80"/>
        <v>0</v>
      </c>
    </row>
    <row r="100" spans="1:53" s="99" customFormat="1" x14ac:dyDescent="0.25">
      <c r="A100" s="313"/>
      <c r="B100" s="302"/>
      <c r="C100" s="302"/>
      <c r="D100" s="302"/>
      <c r="E100" s="30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7"/>
      <c r="W100" s="16"/>
      <c r="X100" s="17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</row>
    <row r="101" spans="1:53" s="216" customFormat="1" x14ac:dyDescent="0.25">
      <c r="A101" s="293" t="s">
        <v>159</v>
      </c>
      <c r="B101" s="334">
        <f>B49+B56+B70+B72+B74+B75+B96+B98+B99+B54</f>
        <v>355249.5</v>
      </c>
      <c r="C101" s="334">
        <f t="shared" ref="C101:BA101" si="81">C49+C56+C70+C72+C74+C75+C96+C98+C99+C54</f>
        <v>437114</v>
      </c>
      <c r="D101" s="334">
        <f t="shared" si="81"/>
        <v>249276</v>
      </c>
      <c r="E101" s="334">
        <f t="shared" si="81"/>
        <v>337706.1999999999</v>
      </c>
      <c r="F101" s="334">
        <f t="shared" si="81"/>
        <v>268282</v>
      </c>
      <c r="G101" s="334">
        <f t="shared" si="81"/>
        <v>227168</v>
      </c>
      <c r="H101" s="334">
        <f t="shared" si="81"/>
        <v>180390</v>
      </c>
      <c r="I101" s="334">
        <f t="shared" si="81"/>
        <v>167522</v>
      </c>
      <c r="J101" s="334">
        <f t="shared" si="81"/>
        <v>64302</v>
      </c>
      <c r="K101" s="334">
        <f t="shared" si="81"/>
        <v>16369</v>
      </c>
      <c r="L101" s="334">
        <f t="shared" si="81"/>
        <v>237129</v>
      </c>
      <c r="M101" s="334">
        <f t="shared" si="81"/>
        <v>219787</v>
      </c>
      <c r="N101" s="334">
        <f t="shared" si="81"/>
        <v>268754</v>
      </c>
      <c r="O101" s="334">
        <f t="shared" si="81"/>
        <v>240543</v>
      </c>
      <c r="P101" s="334">
        <f t="shared" si="81"/>
        <v>146345</v>
      </c>
      <c r="Q101" s="334">
        <f t="shared" si="81"/>
        <v>160835</v>
      </c>
      <c r="R101" s="334">
        <f>R49+R56+R70+R72+R74+R75+R96+R98+R99+R54</f>
        <v>255287</v>
      </c>
      <c r="S101" s="334">
        <f t="shared" si="81"/>
        <v>193293</v>
      </c>
      <c r="T101" s="334">
        <f t="shared" si="81"/>
        <v>119059</v>
      </c>
      <c r="U101" s="334">
        <f t="shared" si="81"/>
        <v>186735</v>
      </c>
      <c r="V101" s="334">
        <f t="shared" si="81"/>
        <v>178003.3899999999</v>
      </c>
      <c r="W101" s="334">
        <f t="shared" si="81"/>
        <v>126311.6</v>
      </c>
      <c r="X101" s="334">
        <f t="shared" si="81"/>
        <v>110151.80290000001</v>
      </c>
      <c r="Y101" s="334">
        <f t="shared" si="81"/>
        <v>164233</v>
      </c>
      <c r="Z101" s="334">
        <f t="shared" si="81"/>
        <v>150790</v>
      </c>
      <c r="AA101" s="334">
        <f t="shared" si="81"/>
        <v>149747</v>
      </c>
      <c r="AB101" s="334">
        <f t="shared" si="81"/>
        <v>110887</v>
      </c>
      <c r="AC101" s="334">
        <f t="shared" si="81"/>
        <v>149013</v>
      </c>
      <c r="AD101" s="334">
        <f t="shared" si="81"/>
        <v>131752</v>
      </c>
      <c r="AE101" s="334">
        <f t="shared" si="81"/>
        <v>109661</v>
      </c>
      <c r="AF101" s="334">
        <f t="shared" si="81"/>
        <v>102944</v>
      </c>
      <c r="AG101" s="334">
        <f t="shared" si="81"/>
        <v>89805</v>
      </c>
      <c r="AH101" s="334">
        <f t="shared" si="81"/>
        <v>-40768</v>
      </c>
      <c r="AI101" s="334">
        <f t="shared" si="81"/>
        <v>8939</v>
      </c>
      <c r="AJ101" s="334">
        <f t="shared" si="81"/>
        <v>3788</v>
      </c>
      <c r="AK101" s="334">
        <f t="shared" si="81"/>
        <v>16451</v>
      </c>
      <c r="AL101" s="334">
        <f t="shared" si="81"/>
        <v>21542</v>
      </c>
      <c r="AM101" s="334">
        <f t="shared" si="81"/>
        <v>98064</v>
      </c>
      <c r="AN101" s="334">
        <f t="shared" si="81"/>
        <v>81923</v>
      </c>
      <c r="AO101" s="334">
        <f t="shared" si="81"/>
        <v>116613</v>
      </c>
      <c r="AP101" s="334">
        <f t="shared" si="81"/>
        <v>101367</v>
      </c>
      <c r="AQ101" s="334">
        <f t="shared" si="81"/>
        <v>125834</v>
      </c>
      <c r="AR101" s="334">
        <f t="shared" si="81"/>
        <v>76221</v>
      </c>
      <c r="AS101" s="334">
        <f t="shared" si="81"/>
        <v>116370</v>
      </c>
      <c r="AT101" s="334">
        <f t="shared" si="81"/>
        <v>126175</v>
      </c>
      <c r="AU101" s="334">
        <f t="shared" si="81"/>
        <v>127982.31120000005</v>
      </c>
      <c r="AV101" s="334">
        <f t="shared" si="81"/>
        <v>108392</v>
      </c>
      <c r="AW101" s="334">
        <f t="shared" si="81"/>
        <v>124381</v>
      </c>
      <c r="AX101" s="334">
        <f t="shared" si="81"/>
        <v>105582</v>
      </c>
      <c r="AY101" s="334">
        <f t="shared" si="81"/>
        <v>120102</v>
      </c>
      <c r="AZ101" s="334">
        <f t="shared" si="81"/>
        <v>114504</v>
      </c>
      <c r="BA101" s="334">
        <f t="shared" si="81"/>
        <v>130247</v>
      </c>
    </row>
    <row r="102" spans="1:53" s="99" customFormat="1" x14ac:dyDescent="0.25">
      <c r="A102" s="339" t="s">
        <v>451</v>
      </c>
      <c r="B102" s="335"/>
      <c r="C102" s="335"/>
      <c r="D102" s="336"/>
      <c r="E102" s="336"/>
      <c r="F102" s="337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5"/>
      <c r="W102" s="14"/>
      <c r="X102" s="15"/>
      <c r="Y102" s="15"/>
      <c r="Z102" s="15"/>
      <c r="AA102" s="15"/>
      <c r="AB102" s="15"/>
      <c r="AC102" s="15"/>
      <c r="AD102" s="15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7"/>
      <c r="AU102" s="17"/>
      <c r="AV102" s="17"/>
      <c r="AW102" s="17"/>
      <c r="AX102" s="17"/>
      <c r="AY102" s="17"/>
      <c r="AZ102" s="17"/>
      <c r="BA102" s="17"/>
    </row>
    <row r="103" spans="1:53" x14ac:dyDescent="0.25">
      <c r="A103" s="339" t="s">
        <v>478</v>
      </c>
      <c r="B103" s="335"/>
      <c r="C103" s="335"/>
      <c r="D103" s="337"/>
      <c r="E103" s="337"/>
      <c r="F103" s="337"/>
    </row>
    <row r="104" spans="1:53" s="99" customFormat="1" x14ac:dyDescent="0.25">
      <c r="A104" s="339" t="s">
        <v>482</v>
      </c>
      <c r="B104" s="335"/>
      <c r="C104" s="335"/>
      <c r="D104" s="336"/>
      <c r="E104" s="336"/>
      <c r="F104" s="33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5"/>
      <c r="W104" s="14"/>
      <c r="X104" s="15"/>
      <c r="Y104" s="15"/>
      <c r="Z104" s="15"/>
      <c r="AA104" s="15"/>
      <c r="AB104" s="15"/>
      <c r="AC104" s="15"/>
      <c r="AD104" s="15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7"/>
      <c r="AU104" s="17"/>
      <c r="AV104" s="17"/>
      <c r="AW104" s="17"/>
      <c r="AX104" s="17"/>
      <c r="AY104" s="17"/>
      <c r="AZ104" s="17"/>
      <c r="BA104" s="17"/>
    </row>
    <row r="105" spans="1:53" x14ac:dyDescent="0.25">
      <c r="D105" s="17"/>
      <c r="E105" s="17"/>
      <c r="F105" s="17"/>
    </row>
    <row r="106" spans="1:53" x14ac:dyDescent="0.25">
      <c r="D106" s="17"/>
      <c r="E106" s="17"/>
      <c r="F106" s="17"/>
      <c r="U106" s="17"/>
      <c r="W106" s="17"/>
    </row>
    <row r="107" spans="1:53" x14ac:dyDescent="0.25">
      <c r="D107" s="17"/>
      <c r="E107" s="17"/>
      <c r="F107" s="17"/>
    </row>
    <row r="108" spans="1:53" x14ac:dyDescent="0.25">
      <c r="D108" s="17"/>
      <c r="E108" s="17"/>
      <c r="F108" s="17"/>
    </row>
    <row r="109" spans="1:53" x14ac:dyDescent="0.25">
      <c r="D109" s="17"/>
      <c r="E109" s="17"/>
      <c r="F109" s="17"/>
    </row>
    <row r="110" spans="1:53" x14ac:dyDescent="0.25">
      <c r="D110" s="17"/>
      <c r="E110" s="17"/>
      <c r="F110" s="17"/>
    </row>
    <row r="111" spans="1:53" x14ac:dyDescent="0.25">
      <c r="D111" s="17"/>
      <c r="E111" s="17"/>
      <c r="F111" s="17"/>
    </row>
    <row r="112" spans="1:53" x14ac:dyDescent="0.25">
      <c r="D112" s="17"/>
      <c r="E112" s="17"/>
      <c r="F112" s="17"/>
    </row>
    <row r="113" spans="4:6" x14ac:dyDescent="0.25">
      <c r="D113" s="17"/>
      <c r="E113" s="17"/>
      <c r="F113" s="17"/>
    </row>
    <row r="114" spans="4:6" x14ac:dyDescent="0.25">
      <c r="D114" s="17"/>
      <c r="E114" s="17"/>
      <c r="F114" s="17"/>
    </row>
    <row r="115" spans="4:6" x14ac:dyDescent="0.25">
      <c r="D115" s="17"/>
      <c r="E115" s="17"/>
      <c r="F115" s="17"/>
    </row>
    <row r="116" spans="4:6" x14ac:dyDescent="0.25">
      <c r="D116" s="17"/>
      <c r="E116" s="17"/>
      <c r="F116" s="17"/>
    </row>
    <row r="117" spans="4:6" x14ac:dyDescent="0.25">
      <c r="D117" s="17"/>
      <c r="E117" s="17"/>
      <c r="F117" s="17"/>
    </row>
    <row r="118" spans="4:6" x14ac:dyDescent="0.25">
      <c r="D118" s="17"/>
      <c r="E118" s="17"/>
      <c r="F118" s="17"/>
    </row>
    <row r="119" spans="4:6" x14ac:dyDescent="0.25">
      <c r="D119" s="17"/>
      <c r="E119" s="17"/>
      <c r="F119" s="17"/>
    </row>
    <row r="120" spans="4:6" x14ac:dyDescent="0.25">
      <c r="D120" s="17"/>
      <c r="E120" s="17"/>
      <c r="F120" s="17"/>
    </row>
    <row r="121" spans="4:6" x14ac:dyDescent="0.25">
      <c r="D121" s="17"/>
      <c r="E121" s="17"/>
      <c r="F121" s="17"/>
    </row>
    <row r="122" spans="4:6" x14ac:dyDescent="0.25">
      <c r="D122" s="17"/>
      <c r="E122" s="17"/>
      <c r="F122" s="17"/>
    </row>
  </sheetData>
  <mergeCells count="2">
    <mergeCell ref="I1:J1"/>
    <mergeCell ref="L1:P1"/>
  </mergeCells>
  <phoneticPr fontId="17" type="noConversion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BC94"/>
  <sheetViews>
    <sheetView workbookViewId="0">
      <selection activeCell="F91" sqref="F91"/>
    </sheetView>
  </sheetViews>
  <sheetFormatPr defaultColWidth="9.140625" defaultRowHeight="0" customHeight="1" zeroHeight="1" x14ac:dyDescent="0.25"/>
  <cols>
    <col min="1" max="1" width="50.85546875" style="66" customWidth="1"/>
    <col min="2" max="5" width="11.7109375" style="278" customWidth="1"/>
    <col min="6" max="6" width="11.7109375" style="287" customWidth="1"/>
    <col min="7" max="9" width="11.7109375" style="278" customWidth="1"/>
    <col min="10" max="10" width="11.7109375" style="288" customWidth="1"/>
    <col min="11" max="53" width="11.7109375" style="278" customWidth="1"/>
    <col min="54" max="54" width="14.7109375" style="66" customWidth="1"/>
    <col min="55" max="16384" width="9.140625" style="66"/>
  </cols>
  <sheetData>
    <row r="1" spans="1:55" s="143" customFormat="1" ht="72.599999999999994" customHeight="1" x14ac:dyDescent="0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354" t="s">
        <v>160</v>
      </c>
      <c r="N1" s="354"/>
      <c r="O1" s="354"/>
      <c r="P1" s="354"/>
      <c r="Q1" s="354"/>
      <c r="S1" s="279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280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66"/>
      <c r="BC1" s="66"/>
    </row>
    <row r="2" spans="1:55" s="281" customFormat="1" ht="15" x14ac:dyDescent="0.25">
      <c r="A2" s="268" t="s">
        <v>161</v>
      </c>
      <c r="B2" s="289">
        <v>45261</v>
      </c>
      <c r="C2" s="289">
        <v>45170</v>
      </c>
      <c r="D2" s="289">
        <v>45078</v>
      </c>
      <c r="E2" s="289">
        <v>44986</v>
      </c>
      <c r="F2" s="289">
        <v>44896</v>
      </c>
      <c r="G2" s="289">
        <v>44805</v>
      </c>
      <c r="H2" s="289">
        <v>44713</v>
      </c>
      <c r="I2" s="289">
        <v>44621</v>
      </c>
      <c r="J2" s="289">
        <v>44531</v>
      </c>
      <c r="K2" s="289">
        <v>44440</v>
      </c>
      <c r="L2" s="289">
        <v>44348</v>
      </c>
      <c r="M2" s="289">
        <v>44256</v>
      </c>
      <c r="N2" s="289">
        <v>44166</v>
      </c>
      <c r="O2" s="289">
        <v>44075</v>
      </c>
      <c r="P2" s="289">
        <v>43983</v>
      </c>
      <c r="Q2" s="289">
        <v>43891</v>
      </c>
      <c r="R2" s="289">
        <v>43800</v>
      </c>
      <c r="S2" s="289">
        <v>43709</v>
      </c>
      <c r="T2" s="289">
        <v>43617</v>
      </c>
      <c r="U2" s="289">
        <v>43525</v>
      </c>
      <c r="V2" s="289">
        <v>43435</v>
      </c>
      <c r="W2" s="289">
        <v>43344</v>
      </c>
      <c r="X2" s="289">
        <v>43252</v>
      </c>
      <c r="Y2" s="289">
        <v>43160</v>
      </c>
      <c r="Z2" s="289">
        <v>43070</v>
      </c>
      <c r="AA2" s="289">
        <v>42979</v>
      </c>
      <c r="AB2" s="289">
        <v>42887</v>
      </c>
      <c r="AC2" s="289">
        <v>42795</v>
      </c>
      <c r="AD2" s="289">
        <v>42705</v>
      </c>
      <c r="AE2" s="289">
        <v>42614</v>
      </c>
      <c r="AF2" s="289">
        <v>42522</v>
      </c>
      <c r="AG2" s="289">
        <v>42430</v>
      </c>
      <c r="AH2" s="289">
        <v>42339</v>
      </c>
      <c r="AI2" s="289">
        <v>42248</v>
      </c>
      <c r="AJ2" s="289">
        <v>42156</v>
      </c>
      <c r="AK2" s="289">
        <v>42064</v>
      </c>
      <c r="AL2" s="289">
        <v>41974</v>
      </c>
      <c r="AM2" s="289">
        <v>41883</v>
      </c>
      <c r="AN2" s="289">
        <v>41791</v>
      </c>
      <c r="AO2" s="289">
        <v>41699</v>
      </c>
      <c r="AP2" s="289">
        <v>41609</v>
      </c>
      <c r="AQ2" s="289">
        <v>41518</v>
      </c>
      <c r="AR2" s="289">
        <v>41426</v>
      </c>
      <c r="AS2" s="289">
        <v>41334</v>
      </c>
      <c r="AT2" s="289">
        <v>41244</v>
      </c>
      <c r="AU2" s="289">
        <v>41153</v>
      </c>
      <c r="AV2" s="289">
        <v>41061</v>
      </c>
      <c r="AW2" s="289">
        <v>40969</v>
      </c>
      <c r="AX2" s="289">
        <v>40878</v>
      </c>
      <c r="AY2" s="289">
        <v>40787</v>
      </c>
      <c r="AZ2" s="289">
        <v>40695</v>
      </c>
      <c r="BA2" s="289">
        <v>40603</v>
      </c>
      <c r="BB2" s="142"/>
      <c r="BC2" s="142"/>
    </row>
    <row r="3" spans="1:55" s="281" customFormat="1" ht="15.75" x14ac:dyDescent="0.25">
      <c r="A3" s="144" t="s">
        <v>162</v>
      </c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2"/>
      <c r="BC3" s="142"/>
    </row>
    <row r="4" spans="1:55" s="281" customFormat="1" ht="15.75" x14ac:dyDescent="0.25">
      <c r="A4" s="147" t="s">
        <v>163</v>
      </c>
      <c r="B4" s="147"/>
      <c r="C4" s="147"/>
      <c r="D4" s="147"/>
      <c r="E4" s="147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2"/>
      <c r="BC4" s="142"/>
    </row>
    <row r="5" spans="1:55" s="281" customFormat="1" ht="15" x14ac:dyDescent="0.25">
      <c r="A5" s="23"/>
      <c r="B5" s="23"/>
      <c r="C5" s="23"/>
      <c r="D5" s="23"/>
      <c r="E5" s="23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142"/>
      <c r="BC5" s="142"/>
    </row>
    <row r="6" spans="1:55" s="281" customFormat="1" ht="13.5" customHeight="1" x14ac:dyDescent="0.25">
      <c r="A6" s="142" t="s">
        <v>10</v>
      </c>
      <c r="B6" s="282">
        <v>994581</v>
      </c>
      <c r="C6" s="282">
        <v>1203526</v>
      </c>
      <c r="D6" s="282">
        <v>740563</v>
      </c>
      <c r="E6" s="282">
        <v>1044323</v>
      </c>
      <c r="F6" s="27">
        <v>1091080</v>
      </c>
      <c r="G6" s="27">
        <v>356342</v>
      </c>
      <c r="H6" s="27">
        <v>756351</v>
      </c>
      <c r="I6" s="27">
        <v>783005</v>
      </c>
      <c r="J6" s="27">
        <v>1279469</v>
      </c>
      <c r="K6" s="27">
        <v>1416290</v>
      </c>
      <c r="L6" s="27">
        <v>853582</v>
      </c>
      <c r="M6" s="27">
        <v>905898</v>
      </c>
      <c r="N6" s="27">
        <v>786377</v>
      </c>
      <c r="O6" s="27">
        <v>1070663</v>
      </c>
      <c r="P6" s="27">
        <v>913179</v>
      </c>
      <c r="Q6" s="27">
        <v>694778</v>
      </c>
      <c r="R6" s="27">
        <v>521304</v>
      </c>
      <c r="S6" s="27">
        <v>482550</v>
      </c>
      <c r="T6" s="27">
        <v>464508</v>
      </c>
      <c r="U6" s="27">
        <v>401746</v>
      </c>
      <c r="V6" s="282">
        <v>297518</v>
      </c>
      <c r="W6" s="282">
        <v>409927</v>
      </c>
      <c r="X6" s="282">
        <v>196240</v>
      </c>
      <c r="Y6" s="282">
        <v>570482</v>
      </c>
      <c r="Z6" s="282">
        <v>405573</v>
      </c>
      <c r="AA6" s="282">
        <v>617540</v>
      </c>
      <c r="AB6" s="282">
        <v>585567</v>
      </c>
      <c r="AC6" s="282">
        <v>576729</v>
      </c>
      <c r="AD6" s="282">
        <v>621673</v>
      </c>
      <c r="AE6" s="282">
        <v>617424</v>
      </c>
      <c r="AF6" s="282">
        <v>404217</v>
      </c>
      <c r="AG6" s="282">
        <v>394401</v>
      </c>
      <c r="AH6" s="282">
        <v>557085</v>
      </c>
      <c r="AI6" s="282">
        <v>648519</v>
      </c>
      <c r="AJ6" s="282">
        <v>313627</v>
      </c>
      <c r="AK6" s="282">
        <v>277193</v>
      </c>
      <c r="AL6" s="282">
        <v>329068</v>
      </c>
      <c r="AM6" s="282">
        <v>142451</v>
      </c>
      <c r="AN6" s="282">
        <v>234414</v>
      </c>
      <c r="AO6" s="282">
        <v>196526</v>
      </c>
      <c r="AP6" s="282">
        <v>260481</v>
      </c>
      <c r="AQ6" s="282">
        <v>300564</v>
      </c>
      <c r="AR6" s="282">
        <v>422955</v>
      </c>
      <c r="AS6" s="282">
        <v>260481</v>
      </c>
      <c r="AT6" s="282">
        <v>496425</v>
      </c>
      <c r="AU6" s="282">
        <v>537514</v>
      </c>
      <c r="AV6" s="282">
        <v>518054</v>
      </c>
      <c r="AW6" s="282">
        <v>708020</v>
      </c>
      <c r="AX6" s="282">
        <v>241536</v>
      </c>
      <c r="AY6" s="282">
        <v>310381</v>
      </c>
      <c r="AZ6" s="282">
        <v>149755</v>
      </c>
      <c r="BA6" s="282">
        <v>146413</v>
      </c>
      <c r="BB6" s="142"/>
      <c r="BC6" s="142"/>
    </row>
    <row r="7" spans="1:55" s="281" customFormat="1" ht="13.5" customHeight="1" x14ac:dyDescent="0.25">
      <c r="A7" s="19" t="s">
        <v>421</v>
      </c>
      <c r="B7" s="28">
        <v>1264375</v>
      </c>
      <c r="C7" s="28">
        <v>1233234</v>
      </c>
      <c r="D7" s="28">
        <v>1194348</v>
      </c>
      <c r="E7" s="28">
        <v>1213073</v>
      </c>
      <c r="F7" s="28">
        <v>1040394</v>
      </c>
      <c r="G7" s="28">
        <v>1038506</v>
      </c>
      <c r="H7" s="28">
        <v>1008616</v>
      </c>
      <c r="I7" s="28">
        <v>1005736</v>
      </c>
      <c r="J7" s="28">
        <v>989272</v>
      </c>
      <c r="K7" s="28">
        <v>1060433</v>
      </c>
      <c r="L7" s="28">
        <v>1063297</v>
      </c>
      <c r="M7" s="28">
        <v>1043442</v>
      </c>
      <c r="N7" s="28">
        <v>1034710</v>
      </c>
      <c r="O7" s="28">
        <v>1049456</v>
      </c>
      <c r="P7" s="28">
        <v>1083976</v>
      </c>
      <c r="Q7" s="28">
        <v>1164509</v>
      </c>
      <c r="R7" s="28">
        <v>1176718</v>
      </c>
      <c r="S7" s="28">
        <v>1201519</v>
      </c>
      <c r="T7" s="28">
        <v>1197099</v>
      </c>
      <c r="U7" s="28">
        <v>1210981</v>
      </c>
      <c r="V7" s="283">
        <v>1150754</v>
      </c>
      <c r="W7" s="283">
        <v>1167752</v>
      </c>
      <c r="X7" s="283">
        <v>1115374</v>
      </c>
      <c r="Y7" s="283">
        <v>1108689</v>
      </c>
      <c r="Z7" s="283">
        <v>1084912</v>
      </c>
      <c r="AA7" s="283">
        <v>1064725</v>
      </c>
      <c r="AB7" s="283">
        <v>986625</v>
      </c>
      <c r="AC7" s="283">
        <v>1001037</v>
      </c>
      <c r="AD7" s="283">
        <v>921035</v>
      </c>
      <c r="AE7" s="283">
        <v>923360</v>
      </c>
      <c r="AF7" s="283">
        <v>851583</v>
      </c>
      <c r="AG7" s="283">
        <v>787214</v>
      </c>
      <c r="AH7" s="283">
        <v>753805</v>
      </c>
      <c r="AI7" s="283">
        <v>725637</v>
      </c>
      <c r="AJ7" s="283">
        <v>706831</v>
      </c>
      <c r="AK7" s="283">
        <v>661028</v>
      </c>
      <c r="AL7" s="283">
        <v>686085</v>
      </c>
      <c r="AM7" s="283">
        <v>696852</v>
      </c>
      <c r="AN7" s="283">
        <v>696141</v>
      </c>
      <c r="AO7" s="283">
        <v>711839</v>
      </c>
      <c r="AP7" s="283">
        <v>697105</v>
      </c>
      <c r="AQ7" s="283">
        <v>644910</v>
      </c>
      <c r="AR7" s="283">
        <v>604621</v>
      </c>
      <c r="AS7" s="283">
        <v>697105</v>
      </c>
      <c r="AT7" s="283">
        <v>578853</v>
      </c>
      <c r="AU7" s="283">
        <v>550737</v>
      </c>
      <c r="AV7" s="283">
        <v>519273</v>
      </c>
      <c r="AW7" s="283">
        <v>511148</v>
      </c>
      <c r="AX7" s="283">
        <v>471797</v>
      </c>
      <c r="AY7" s="283">
        <v>489097</v>
      </c>
      <c r="AZ7" s="283">
        <v>478645</v>
      </c>
      <c r="BA7" s="283">
        <v>463269</v>
      </c>
      <c r="BB7" s="142"/>
      <c r="BC7" s="142"/>
    </row>
    <row r="8" spans="1:55" s="281" customFormat="1" ht="13.5" customHeight="1" x14ac:dyDescent="0.25">
      <c r="A8" s="142" t="s">
        <v>40</v>
      </c>
      <c r="B8" s="282">
        <v>0</v>
      </c>
      <c r="C8" s="282">
        <v>345</v>
      </c>
      <c r="D8" s="282">
        <v>2429</v>
      </c>
      <c r="E8" s="282">
        <v>3827</v>
      </c>
      <c r="F8" s="27">
        <v>11791</v>
      </c>
      <c r="G8" s="27">
        <v>4876</v>
      </c>
      <c r="H8" s="27">
        <v>3303</v>
      </c>
      <c r="I8" s="27">
        <v>4845</v>
      </c>
      <c r="J8" s="27">
        <v>3273</v>
      </c>
      <c r="K8" s="27">
        <v>8666</v>
      </c>
      <c r="L8" s="27">
        <v>13387</v>
      </c>
      <c r="M8" s="27">
        <v>16118</v>
      </c>
      <c r="N8" s="27">
        <v>24452</v>
      </c>
      <c r="O8" s="27">
        <v>17346</v>
      </c>
      <c r="P8" s="27">
        <v>17582</v>
      </c>
      <c r="Q8" s="27">
        <v>17717</v>
      </c>
      <c r="R8" s="27">
        <v>20190</v>
      </c>
      <c r="S8" s="27">
        <v>8831</v>
      </c>
      <c r="T8" s="27">
        <v>9344</v>
      </c>
      <c r="U8" s="27">
        <v>8545</v>
      </c>
      <c r="V8" s="282">
        <v>8048</v>
      </c>
      <c r="W8" s="282">
        <v>11891</v>
      </c>
      <c r="X8" s="282">
        <v>16512</v>
      </c>
      <c r="Y8" s="282">
        <v>16551</v>
      </c>
      <c r="Z8" s="282">
        <v>23153</v>
      </c>
      <c r="AA8" s="282">
        <v>29740</v>
      </c>
      <c r="AB8" s="282">
        <v>44375</v>
      </c>
      <c r="AC8" s="282">
        <v>50782</v>
      </c>
      <c r="AD8" s="282">
        <v>37214</v>
      </c>
      <c r="AE8" s="282">
        <v>38652</v>
      </c>
      <c r="AF8" s="282">
        <v>34011</v>
      </c>
      <c r="AG8" s="282">
        <v>35380</v>
      </c>
      <c r="AH8" s="282">
        <v>27442</v>
      </c>
      <c r="AI8" s="282">
        <v>20977</v>
      </c>
      <c r="AJ8" s="282">
        <v>24022</v>
      </c>
      <c r="AK8" s="282">
        <v>23520</v>
      </c>
      <c r="AL8" s="282">
        <v>24493</v>
      </c>
      <c r="AM8" s="282">
        <v>38943</v>
      </c>
      <c r="AN8" s="282">
        <v>41775</v>
      </c>
      <c r="AO8" s="282">
        <v>32804</v>
      </c>
      <c r="AP8" s="282">
        <v>36688</v>
      </c>
      <c r="AQ8" s="282">
        <v>42432</v>
      </c>
      <c r="AR8" s="282">
        <v>55152</v>
      </c>
      <c r="AS8" s="282">
        <v>36688</v>
      </c>
      <c r="AT8" s="282">
        <v>47480</v>
      </c>
      <c r="AU8" s="282">
        <v>48508</v>
      </c>
      <c r="AV8" s="282">
        <v>49222</v>
      </c>
      <c r="AW8" s="282">
        <v>12098</v>
      </c>
      <c r="AX8" s="282">
        <v>9161</v>
      </c>
      <c r="AY8" s="282">
        <v>10857</v>
      </c>
      <c r="AZ8" s="282">
        <v>10365</v>
      </c>
      <c r="BA8" s="282">
        <v>10077</v>
      </c>
      <c r="BB8" s="142"/>
      <c r="BC8" s="142"/>
    </row>
    <row r="9" spans="1:55" s="281" customFormat="1" ht="13.5" customHeight="1" x14ac:dyDescent="0.25">
      <c r="A9" s="142" t="s">
        <v>38</v>
      </c>
      <c r="B9" s="282">
        <v>106706</v>
      </c>
      <c r="C9" s="282">
        <v>112244</v>
      </c>
      <c r="D9" s="282">
        <v>119583</v>
      </c>
      <c r="E9" s="282">
        <v>122311</v>
      </c>
      <c r="F9" s="27">
        <v>112118</v>
      </c>
      <c r="G9" s="27">
        <v>109911</v>
      </c>
      <c r="H9" s="27">
        <v>108124</v>
      </c>
      <c r="I9" s="27">
        <v>94395</v>
      </c>
      <c r="J9" s="27">
        <v>83322</v>
      </c>
      <c r="K9" s="27">
        <v>78232</v>
      </c>
      <c r="L9" s="27">
        <v>70917</v>
      </c>
      <c r="M9" s="27">
        <v>65352</v>
      </c>
      <c r="N9" s="27">
        <v>62603</v>
      </c>
      <c r="O9" s="27">
        <v>64523</v>
      </c>
      <c r="P9" s="27">
        <v>62809</v>
      </c>
      <c r="Q9" s="27">
        <v>62713</v>
      </c>
      <c r="R9" s="27">
        <v>57214</v>
      </c>
      <c r="S9" s="27">
        <v>54107</v>
      </c>
      <c r="T9" s="27">
        <v>53244</v>
      </c>
      <c r="U9" s="27">
        <v>50235</v>
      </c>
      <c r="V9" s="282">
        <v>46722</v>
      </c>
      <c r="W9" s="282">
        <v>41260</v>
      </c>
      <c r="X9" s="282">
        <v>42513</v>
      </c>
      <c r="Y9" s="282">
        <v>43304</v>
      </c>
      <c r="Z9" s="282">
        <v>43912</v>
      </c>
      <c r="AA9" s="282">
        <v>42577</v>
      </c>
      <c r="AB9" s="282">
        <v>40793</v>
      </c>
      <c r="AC9" s="282">
        <v>39768</v>
      </c>
      <c r="AD9" s="282">
        <v>39774</v>
      </c>
      <c r="AE9" s="282">
        <v>43286</v>
      </c>
      <c r="AF9" s="282">
        <v>46159</v>
      </c>
      <c r="AG9" s="282">
        <v>45723</v>
      </c>
      <c r="AH9" s="282">
        <v>46038</v>
      </c>
      <c r="AI9" s="282">
        <v>44512</v>
      </c>
      <c r="AJ9" s="282">
        <v>42336</v>
      </c>
      <c r="AK9" s="282">
        <v>41988</v>
      </c>
      <c r="AL9" s="282">
        <v>41251</v>
      </c>
      <c r="AM9" s="282">
        <v>36850</v>
      </c>
      <c r="AN9" s="282">
        <v>36915</v>
      </c>
      <c r="AO9" s="282">
        <v>34327</v>
      </c>
      <c r="AP9" s="282">
        <v>34486</v>
      </c>
      <c r="AQ9" s="282">
        <v>33000</v>
      </c>
      <c r="AR9" s="282">
        <v>31576</v>
      </c>
      <c r="AS9" s="282">
        <v>34486</v>
      </c>
      <c r="AT9" s="282">
        <v>33121</v>
      </c>
      <c r="AU9" s="282">
        <v>32331</v>
      </c>
      <c r="AV9" s="282">
        <v>30787</v>
      </c>
      <c r="AW9" s="282">
        <v>31473</v>
      </c>
      <c r="AX9" s="282">
        <v>29074</v>
      </c>
      <c r="AY9" s="282">
        <v>27456</v>
      </c>
      <c r="AZ9" s="282">
        <v>27371</v>
      </c>
      <c r="BA9" s="282">
        <v>26989</v>
      </c>
      <c r="BB9" s="142"/>
      <c r="BC9" s="142"/>
    </row>
    <row r="10" spans="1:55" s="281" customFormat="1" ht="13.5" customHeight="1" x14ac:dyDescent="0.25">
      <c r="A10" s="284" t="s">
        <v>39</v>
      </c>
      <c r="B10" s="283">
        <v>36234</v>
      </c>
      <c r="C10" s="283">
        <v>12637</v>
      </c>
      <c r="D10" s="283">
        <v>246213</v>
      </c>
      <c r="E10" s="283">
        <v>186297</v>
      </c>
      <c r="F10" s="283">
        <v>90325</v>
      </c>
      <c r="G10" s="283">
        <v>230435</v>
      </c>
      <c r="H10" s="283">
        <v>156054</v>
      </c>
      <c r="I10" s="283">
        <v>138076</v>
      </c>
      <c r="J10" s="283">
        <v>100568</v>
      </c>
      <c r="K10" s="283">
        <v>115923</v>
      </c>
      <c r="L10" s="283">
        <v>18381</v>
      </c>
      <c r="M10" s="283">
        <v>18381</v>
      </c>
      <c r="N10" s="283">
        <v>18381</v>
      </c>
      <c r="O10" s="283">
        <v>30168</v>
      </c>
      <c r="P10" s="283">
        <v>30168</v>
      </c>
      <c r="Q10" s="283">
        <v>30173</v>
      </c>
      <c r="R10" s="283">
        <v>30173</v>
      </c>
      <c r="S10" s="283">
        <v>1505</v>
      </c>
      <c r="T10" s="283">
        <v>29928</v>
      </c>
      <c r="U10" s="283">
        <v>29928</v>
      </c>
      <c r="V10" s="283">
        <v>29928</v>
      </c>
      <c r="W10" s="283">
        <v>16288</v>
      </c>
      <c r="X10" s="283">
        <v>16695</v>
      </c>
      <c r="Y10" s="283">
        <v>16763</v>
      </c>
      <c r="Z10" s="283">
        <v>16288</v>
      </c>
      <c r="AA10" s="283">
        <v>23220</v>
      </c>
      <c r="AB10" s="283">
        <v>25859</v>
      </c>
      <c r="AC10" s="283">
        <v>23514</v>
      </c>
      <c r="AD10" s="283">
        <v>25311</v>
      </c>
      <c r="AE10" s="283">
        <v>707</v>
      </c>
      <c r="AF10" s="283">
        <v>32186</v>
      </c>
      <c r="AG10" s="283">
        <v>35817</v>
      </c>
      <c r="AH10" s="283">
        <v>39674</v>
      </c>
      <c r="AI10" s="283">
        <v>28675</v>
      </c>
      <c r="AJ10" s="283">
        <v>40801</v>
      </c>
      <c r="AK10" s="283">
        <v>25224</v>
      </c>
      <c r="AL10" s="283">
        <v>19829</v>
      </c>
      <c r="AM10" s="283">
        <v>11726</v>
      </c>
      <c r="AN10" s="283">
        <v>23283</v>
      </c>
      <c r="AO10" s="283">
        <v>23468</v>
      </c>
      <c r="AP10" s="283">
        <v>23283</v>
      </c>
      <c r="AQ10" s="283">
        <v>12923</v>
      </c>
      <c r="AR10" s="283">
        <v>21377</v>
      </c>
      <c r="AS10" s="283">
        <v>23283</v>
      </c>
      <c r="AT10" s="283">
        <v>21171</v>
      </c>
      <c r="AU10" s="283">
        <v>28884</v>
      </c>
      <c r="AV10" s="283">
        <v>42243</v>
      </c>
      <c r="AW10" s="283">
        <v>36236</v>
      </c>
      <c r="AX10" s="283">
        <v>36236</v>
      </c>
      <c r="AY10" s="283">
        <v>30884</v>
      </c>
      <c r="AZ10" s="283">
        <v>33249</v>
      </c>
      <c r="BA10" s="283">
        <v>31230</v>
      </c>
      <c r="BB10" s="142"/>
      <c r="BC10" s="142"/>
    </row>
    <row r="11" spans="1:55" s="281" customFormat="1" ht="13.5" customHeight="1" x14ac:dyDescent="0.25">
      <c r="A11" s="142" t="s">
        <v>489</v>
      </c>
      <c r="B11" s="282">
        <v>51368</v>
      </c>
      <c r="C11" s="282">
        <v>55496</v>
      </c>
      <c r="D11" s="282">
        <v>41023</v>
      </c>
      <c r="E11" s="282">
        <v>38903</v>
      </c>
      <c r="F11" s="27">
        <v>30170</v>
      </c>
      <c r="G11" s="27">
        <v>42565</v>
      </c>
      <c r="H11" s="27">
        <v>39382</v>
      </c>
      <c r="I11" s="27">
        <v>37816</v>
      </c>
      <c r="J11" s="27">
        <v>38271</v>
      </c>
      <c r="K11" s="27">
        <v>35515</v>
      </c>
      <c r="L11" s="27">
        <v>37747</v>
      </c>
      <c r="M11" s="27">
        <v>13374</v>
      </c>
      <c r="N11" s="27">
        <v>16152</v>
      </c>
      <c r="O11" s="27">
        <v>17868</v>
      </c>
      <c r="P11" s="27">
        <v>15584</v>
      </c>
      <c r="Q11" s="27">
        <v>15760</v>
      </c>
      <c r="R11" s="27">
        <v>471</v>
      </c>
      <c r="S11" s="27">
        <v>107635</v>
      </c>
      <c r="T11" s="27">
        <v>110574</v>
      </c>
      <c r="U11" s="27">
        <v>108508</v>
      </c>
      <c r="V11" s="282">
        <v>109142</v>
      </c>
      <c r="W11" s="282">
        <v>92406</v>
      </c>
      <c r="X11" s="282">
        <v>89613</v>
      </c>
      <c r="Y11" s="282">
        <v>87386</v>
      </c>
      <c r="Z11" s="282">
        <v>79993</v>
      </c>
      <c r="AA11" s="282">
        <v>67717</v>
      </c>
      <c r="AB11" s="282">
        <v>46396</v>
      </c>
      <c r="AC11" s="282">
        <v>26856</v>
      </c>
      <c r="AD11" s="282">
        <v>34462</v>
      </c>
      <c r="AE11" s="282">
        <v>10387</v>
      </c>
      <c r="AF11" s="282">
        <v>39333</v>
      </c>
      <c r="AG11" s="282">
        <v>30066</v>
      </c>
      <c r="AH11" s="282">
        <v>41736</v>
      </c>
      <c r="AI11" s="282">
        <v>46006</v>
      </c>
      <c r="AJ11" s="282">
        <v>43848</v>
      </c>
      <c r="AK11" s="282">
        <v>40067</v>
      </c>
      <c r="AL11" s="282">
        <v>37394</v>
      </c>
      <c r="AM11" s="282">
        <v>24006</v>
      </c>
      <c r="AN11" s="282">
        <v>11275</v>
      </c>
      <c r="AO11" s="282">
        <v>629</v>
      </c>
      <c r="AP11" s="282">
        <v>0</v>
      </c>
      <c r="AQ11" s="282">
        <v>0</v>
      </c>
      <c r="AR11" s="282">
        <v>0</v>
      </c>
      <c r="AS11" s="282">
        <v>0</v>
      </c>
      <c r="AT11" s="282">
        <v>0</v>
      </c>
      <c r="AU11" s="282">
        <v>0</v>
      </c>
      <c r="AV11" s="282">
        <v>0</v>
      </c>
      <c r="AW11" s="282">
        <v>0</v>
      </c>
      <c r="AX11" s="282">
        <v>5085</v>
      </c>
      <c r="AY11" s="282">
        <v>3561</v>
      </c>
      <c r="AZ11" s="282">
        <v>2560</v>
      </c>
      <c r="BA11" s="282">
        <v>2593</v>
      </c>
      <c r="BB11" s="142"/>
      <c r="BC11" s="142"/>
    </row>
    <row r="12" spans="1:55" s="281" customFormat="1" ht="13.5" customHeight="1" x14ac:dyDescent="0.25">
      <c r="A12" s="19" t="s">
        <v>490</v>
      </c>
      <c r="B12" s="28">
        <v>36944</v>
      </c>
      <c r="C12" s="28">
        <v>35765</v>
      </c>
      <c r="D12" s="28">
        <v>33095</v>
      </c>
      <c r="E12" s="28">
        <v>23678</v>
      </c>
      <c r="F12" s="28">
        <v>31679</v>
      </c>
      <c r="G12" s="28">
        <v>28828</v>
      </c>
      <c r="H12" s="28">
        <v>26628</v>
      </c>
      <c r="I12" s="28">
        <v>22745</v>
      </c>
      <c r="J12" s="28">
        <v>26776</v>
      </c>
      <c r="K12" s="28">
        <v>28160</v>
      </c>
      <c r="L12" s="28">
        <v>26814</v>
      </c>
      <c r="M12" s="28">
        <v>23573</v>
      </c>
      <c r="N12" s="28">
        <v>23486</v>
      </c>
      <c r="O12" s="28">
        <v>26473</v>
      </c>
      <c r="P12" s="28">
        <v>21839</v>
      </c>
      <c r="Q12" s="28">
        <v>17216</v>
      </c>
      <c r="R12" s="28">
        <v>21934</v>
      </c>
      <c r="S12" s="28">
        <v>23640</v>
      </c>
      <c r="T12" s="28">
        <v>25768</v>
      </c>
      <c r="U12" s="28">
        <v>17562</v>
      </c>
      <c r="V12" s="283">
        <v>21537</v>
      </c>
      <c r="W12" s="283">
        <v>21848</v>
      </c>
      <c r="X12" s="283">
        <v>16924</v>
      </c>
      <c r="Y12" s="283">
        <v>13740</v>
      </c>
      <c r="Z12" s="283">
        <v>16380</v>
      </c>
      <c r="AA12" s="283">
        <v>18342</v>
      </c>
      <c r="AB12" s="283">
        <v>19823</v>
      </c>
      <c r="AC12" s="283">
        <v>12848</v>
      </c>
      <c r="AD12" s="283">
        <v>17030</v>
      </c>
      <c r="AE12" s="283">
        <v>16149</v>
      </c>
      <c r="AF12" s="283">
        <v>12854</v>
      </c>
      <c r="AG12" s="283">
        <v>13274</v>
      </c>
      <c r="AH12" s="283">
        <v>14194</v>
      </c>
      <c r="AI12" s="283">
        <v>27904</v>
      </c>
      <c r="AJ12" s="283">
        <v>33806</v>
      </c>
      <c r="AK12" s="283">
        <v>30488</v>
      </c>
      <c r="AL12" s="283">
        <v>31789</v>
      </c>
      <c r="AM12" s="283">
        <v>32330</v>
      </c>
      <c r="AN12" s="283">
        <v>31299</v>
      </c>
      <c r="AO12" s="283">
        <v>24929</v>
      </c>
      <c r="AP12" s="283">
        <v>27665</v>
      </c>
      <c r="AQ12" s="283">
        <v>33904</v>
      </c>
      <c r="AR12" s="283">
        <v>47996</v>
      </c>
      <c r="AS12" s="283">
        <v>27665</v>
      </c>
      <c r="AT12" s="283">
        <v>43126</v>
      </c>
      <c r="AU12" s="283">
        <v>83816</v>
      </c>
      <c r="AV12" s="283">
        <v>87051</v>
      </c>
      <c r="AW12" s="283">
        <v>17478</v>
      </c>
      <c r="AX12" s="283">
        <v>21741</v>
      </c>
      <c r="AY12" s="283">
        <v>15877</v>
      </c>
      <c r="AZ12" s="283">
        <v>13315</v>
      </c>
      <c r="BA12" s="283">
        <v>11311</v>
      </c>
      <c r="BB12" s="142"/>
      <c r="BC12" s="142"/>
    </row>
    <row r="13" spans="1:55" s="281" customFormat="1" ht="13.5" customHeight="1" x14ac:dyDescent="0.25">
      <c r="A13" s="142" t="s">
        <v>65</v>
      </c>
      <c r="B13" s="282">
        <v>0</v>
      </c>
      <c r="C13" s="282">
        <v>0</v>
      </c>
      <c r="D13" s="282">
        <v>0</v>
      </c>
      <c r="E13" s="282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8334</v>
      </c>
      <c r="M13" s="27">
        <v>8333</v>
      </c>
      <c r="N13" s="27">
        <v>8332</v>
      </c>
      <c r="O13" s="27">
        <v>0</v>
      </c>
      <c r="P13" s="27">
        <v>0</v>
      </c>
      <c r="Q13" s="27"/>
      <c r="R13" s="27"/>
      <c r="S13" s="27"/>
      <c r="T13" s="27"/>
      <c r="U13" s="27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142"/>
      <c r="BC13" s="142"/>
    </row>
    <row r="14" spans="1:55" s="281" customFormat="1" ht="13.5" customHeight="1" x14ac:dyDescent="0.25">
      <c r="A14" s="19" t="s">
        <v>32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3">
        <v>161349</v>
      </c>
      <c r="W14" s="283">
        <v>50282</v>
      </c>
      <c r="X14" s="283">
        <v>0</v>
      </c>
      <c r="Y14" s="283">
        <v>0</v>
      </c>
      <c r="Z14" s="283"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142"/>
      <c r="BC14" s="142"/>
    </row>
    <row r="15" spans="1:55" s="281" customFormat="1" ht="13.5" customHeight="1" x14ac:dyDescent="0.25">
      <c r="A15" s="142"/>
      <c r="B15" s="282"/>
      <c r="C15" s="282"/>
      <c r="D15" s="282"/>
      <c r="E15" s="282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142"/>
      <c r="BC15" s="142"/>
    </row>
    <row r="16" spans="1:55" s="281" customFormat="1" ht="15.75" x14ac:dyDescent="0.25">
      <c r="A16" s="147" t="s">
        <v>164</v>
      </c>
      <c r="B16" s="146">
        <f>SUM(B6:B14)</f>
        <v>2490208</v>
      </c>
      <c r="C16" s="146">
        <f>SUM(C6:C14)</f>
        <v>2653247</v>
      </c>
      <c r="D16" s="146">
        <v>2377254</v>
      </c>
      <c r="E16" s="146">
        <f>SUM(E5:E14)</f>
        <v>2632412</v>
      </c>
      <c r="F16" s="146">
        <f>SUM(F5:F14)</f>
        <v>2407557</v>
      </c>
      <c r="G16" s="146">
        <f>SUM(G5:G14)</f>
        <v>1811463</v>
      </c>
      <c r="H16" s="146">
        <f>SUM(H5:H14)</f>
        <v>2098458</v>
      </c>
      <c r="I16" s="146">
        <f t="shared" ref="I16:BA16" si="0">SUM(I6:I14)</f>
        <v>2086618</v>
      </c>
      <c r="J16" s="146">
        <f t="shared" si="0"/>
        <v>2520951</v>
      </c>
      <c r="K16" s="146">
        <f t="shared" si="0"/>
        <v>2743219</v>
      </c>
      <c r="L16" s="146">
        <f t="shared" si="0"/>
        <v>2092459</v>
      </c>
      <c r="M16" s="146">
        <f t="shared" si="0"/>
        <v>2094471</v>
      </c>
      <c r="N16" s="146">
        <f t="shared" si="0"/>
        <v>1974493</v>
      </c>
      <c r="O16" s="146">
        <f t="shared" si="0"/>
        <v>2276497</v>
      </c>
      <c r="P16" s="146">
        <f t="shared" si="0"/>
        <v>2145137</v>
      </c>
      <c r="Q16" s="146">
        <f t="shared" si="0"/>
        <v>2002866</v>
      </c>
      <c r="R16" s="146">
        <f t="shared" si="0"/>
        <v>1828004</v>
      </c>
      <c r="S16" s="146">
        <f t="shared" si="0"/>
        <v>1879787</v>
      </c>
      <c r="T16" s="146">
        <f t="shared" si="0"/>
        <v>1890465</v>
      </c>
      <c r="U16" s="146">
        <f t="shared" si="0"/>
        <v>1827505</v>
      </c>
      <c r="V16" s="146">
        <f t="shared" si="0"/>
        <v>1824998</v>
      </c>
      <c r="W16" s="146">
        <f t="shared" si="0"/>
        <v>1811654</v>
      </c>
      <c r="X16" s="146">
        <f t="shared" si="0"/>
        <v>1493871</v>
      </c>
      <c r="Y16" s="146">
        <f t="shared" si="0"/>
        <v>1856915</v>
      </c>
      <c r="Z16" s="146">
        <f t="shared" si="0"/>
        <v>1670211</v>
      </c>
      <c r="AA16" s="146">
        <f t="shared" si="0"/>
        <v>1863861</v>
      </c>
      <c r="AB16" s="146">
        <f t="shared" si="0"/>
        <v>1749438</v>
      </c>
      <c r="AC16" s="146">
        <f t="shared" si="0"/>
        <v>1731534</v>
      </c>
      <c r="AD16" s="146">
        <f t="shared" si="0"/>
        <v>1696499</v>
      </c>
      <c r="AE16" s="146">
        <f t="shared" si="0"/>
        <v>1649965</v>
      </c>
      <c r="AF16" s="146">
        <f t="shared" si="0"/>
        <v>1420343</v>
      </c>
      <c r="AG16" s="146">
        <f t="shared" si="0"/>
        <v>1341875</v>
      </c>
      <c r="AH16" s="146">
        <f t="shared" si="0"/>
        <v>1479974</v>
      </c>
      <c r="AI16" s="146">
        <f t="shared" si="0"/>
        <v>1542230</v>
      </c>
      <c r="AJ16" s="146">
        <f t="shared" si="0"/>
        <v>1205271</v>
      </c>
      <c r="AK16" s="146">
        <f t="shared" si="0"/>
        <v>1099508</v>
      </c>
      <c r="AL16" s="146">
        <f t="shared" si="0"/>
        <v>1169909</v>
      </c>
      <c r="AM16" s="146">
        <f t="shared" si="0"/>
        <v>983158</v>
      </c>
      <c r="AN16" s="146">
        <f t="shared" si="0"/>
        <v>1075102</v>
      </c>
      <c r="AO16" s="146">
        <f t="shared" si="0"/>
        <v>1024522</v>
      </c>
      <c r="AP16" s="146">
        <f t="shared" si="0"/>
        <v>1079708</v>
      </c>
      <c r="AQ16" s="146">
        <f t="shared" si="0"/>
        <v>1067733</v>
      </c>
      <c r="AR16" s="146">
        <f t="shared" si="0"/>
        <v>1183677</v>
      </c>
      <c r="AS16" s="146">
        <f t="shared" si="0"/>
        <v>1079708</v>
      </c>
      <c r="AT16" s="146">
        <f t="shared" si="0"/>
        <v>1220176</v>
      </c>
      <c r="AU16" s="146">
        <f t="shared" si="0"/>
        <v>1281790</v>
      </c>
      <c r="AV16" s="146">
        <f t="shared" si="0"/>
        <v>1246630</v>
      </c>
      <c r="AW16" s="146">
        <f t="shared" si="0"/>
        <v>1316453</v>
      </c>
      <c r="AX16" s="146">
        <f t="shared" si="0"/>
        <v>814630</v>
      </c>
      <c r="AY16" s="146">
        <f t="shared" si="0"/>
        <v>888113</v>
      </c>
      <c r="AZ16" s="146">
        <f t="shared" si="0"/>
        <v>715260</v>
      </c>
      <c r="BA16" s="146">
        <f t="shared" si="0"/>
        <v>691882</v>
      </c>
      <c r="BB16" s="142"/>
      <c r="BC16" s="142"/>
    </row>
    <row r="17" spans="1:55" s="142" customFormat="1" ht="15.75" x14ac:dyDescent="0.25">
      <c r="A17" s="10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5" s="281" customFormat="1" ht="15.75" x14ac:dyDescent="0.25">
      <c r="A18" s="147" t="s">
        <v>165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2"/>
      <c r="BC18" s="142"/>
    </row>
    <row r="19" spans="1:55" s="281" customFormat="1" ht="15" x14ac:dyDescent="0.25">
      <c r="A19" s="2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142"/>
      <c r="BC19" s="142"/>
    </row>
    <row r="20" spans="1:55" s="281" customFormat="1" ht="13.5" customHeight="1" x14ac:dyDescent="0.25">
      <c r="A20" s="142" t="s">
        <v>421</v>
      </c>
      <c r="B20" s="282">
        <v>56017</v>
      </c>
      <c r="C20" s="282">
        <v>43731</v>
      </c>
      <c r="D20" s="282">
        <v>37732</v>
      </c>
      <c r="E20" s="282">
        <v>37775</v>
      </c>
      <c r="F20" s="27">
        <v>34678</v>
      </c>
      <c r="G20" s="27">
        <v>31471</v>
      </c>
      <c r="H20" s="27">
        <v>33265</v>
      </c>
      <c r="I20" s="27">
        <v>34164</v>
      </c>
      <c r="J20" s="27">
        <v>37092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82">
        <v>12994</v>
      </c>
      <c r="W20" s="282">
        <v>30823</v>
      </c>
      <c r="X20" s="282">
        <v>48588</v>
      </c>
      <c r="Y20" s="282">
        <v>65807</v>
      </c>
      <c r="Z20" s="282">
        <v>82478</v>
      </c>
      <c r="AA20" s="282">
        <v>95788</v>
      </c>
      <c r="AB20" s="282">
        <v>110921</v>
      </c>
      <c r="AC20" s="282">
        <v>125524</v>
      </c>
      <c r="AD20" s="282">
        <v>139595</v>
      </c>
      <c r="AE20" s="282">
        <v>143682</v>
      </c>
      <c r="AF20" s="282">
        <v>155888</v>
      </c>
      <c r="AG20" s="282">
        <v>167597</v>
      </c>
      <c r="AH20" s="282">
        <v>178807</v>
      </c>
      <c r="AI20" s="282">
        <v>171184</v>
      </c>
      <c r="AJ20" s="282">
        <v>180410</v>
      </c>
      <c r="AK20" s="282">
        <v>189185</v>
      </c>
      <c r="AL20" s="282">
        <v>197511</v>
      </c>
      <c r="AM20" s="282">
        <v>192924</v>
      </c>
      <c r="AN20" s="282">
        <v>199898</v>
      </c>
      <c r="AO20" s="282">
        <v>206451</v>
      </c>
      <c r="AP20" s="282">
        <v>212580</v>
      </c>
      <c r="AQ20" s="282">
        <v>206222</v>
      </c>
      <c r="AR20" s="282">
        <v>211214</v>
      </c>
      <c r="AS20" s="282">
        <v>212580</v>
      </c>
      <c r="AT20" s="282">
        <v>220000</v>
      </c>
      <c r="AU20" s="282">
        <v>211566</v>
      </c>
      <c r="AV20" s="282">
        <v>214775</v>
      </c>
      <c r="AW20" s="282">
        <v>217606</v>
      </c>
      <c r="AX20" s="282">
        <v>220060</v>
      </c>
      <c r="AY20" s="282">
        <v>208462</v>
      </c>
      <c r="AZ20" s="282">
        <v>210056</v>
      </c>
      <c r="BA20" s="282">
        <v>211296</v>
      </c>
      <c r="BB20" s="142"/>
      <c r="BC20" s="142"/>
    </row>
    <row r="21" spans="1:55" s="281" customFormat="1" ht="13.5" customHeight="1" x14ac:dyDescent="0.25">
      <c r="A21" s="19" t="s">
        <v>422</v>
      </c>
      <c r="B21" s="28">
        <v>61883</v>
      </c>
      <c r="C21" s="28">
        <v>61926</v>
      </c>
      <c r="D21" s="28">
        <v>62432</v>
      </c>
      <c r="E21" s="28">
        <v>61458</v>
      </c>
      <c r="F21" s="28">
        <v>61033</v>
      </c>
      <c r="G21" s="28">
        <v>59424</v>
      </c>
      <c r="H21" s="28">
        <v>60501</v>
      </c>
      <c r="I21" s="28">
        <v>59719</v>
      </c>
      <c r="J21" s="28">
        <v>65853</v>
      </c>
      <c r="K21" s="28">
        <v>65559</v>
      </c>
      <c r="L21" s="28">
        <v>63305</v>
      </c>
      <c r="M21" s="28">
        <v>68664</v>
      </c>
      <c r="N21" s="28">
        <v>191642</v>
      </c>
      <c r="O21" s="28">
        <f>'[6]Quadro 1'!$B$28</f>
        <v>202966</v>
      </c>
      <c r="P21" s="28">
        <v>197758</v>
      </c>
      <c r="Q21" s="28">
        <v>186426</v>
      </c>
      <c r="R21" s="28">
        <v>180770</v>
      </c>
      <c r="S21" s="28">
        <v>188078</v>
      </c>
      <c r="T21" s="28">
        <v>179716</v>
      </c>
      <c r="U21" s="28">
        <v>183401</v>
      </c>
      <c r="V21" s="283">
        <v>188442</v>
      </c>
      <c r="W21" s="283">
        <v>186651</v>
      </c>
      <c r="X21" s="283">
        <v>184760</v>
      </c>
      <c r="Y21" s="283">
        <v>172738</v>
      </c>
      <c r="Z21" s="283">
        <v>172181</v>
      </c>
      <c r="AA21" s="283">
        <v>169189</v>
      </c>
      <c r="AB21" s="283">
        <v>171321</v>
      </c>
      <c r="AC21" s="283">
        <v>164996</v>
      </c>
      <c r="AD21" s="283">
        <v>169711</v>
      </c>
      <c r="AE21" s="283">
        <v>174809</v>
      </c>
      <c r="AF21" s="283">
        <v>188144</v>
      </c>
      <c r="AG21" s="283">
        <v>193918</v>
      </c>
      <c r="AH21" s="283">
        <v>201704</v>
      </c>
      <c r="AI21" s="283">
        <v>199575</v>
      </c>
      <c r="AJ21" s="283">
        <v>168490</v>
      </c>
      <c r="AK21" s="283">
        <v>164674</v>
      </c>
      <c r="AL21" s="283">
        <v>137208</v>
      </c>
      <c r="AM21" s="283">
        <v>128389</v>
      </c>
      <c r="AN21" s="283">
        <v>117711</v>
      </c>
      <c r="AO21" s="283">
        <v>133528</v>
      </c>
      <c r="AP21" s="283">
        <v>133410</v>
      </c>
      <c r="AQ21" s="283">
        <v>132622</v>
      </c>
      <c r="AR21" s="283">
        <v>131832</v>
      </c>
      <c r="AS21" s="283">
        <v>133410</v>
      </c>
      <c r="AT21" s="283">
        <v>132961</v>
      </c>
      <c r="AU21" s="283">
        <v>133706</v>
      </c>
      <c r="AV21" s="283">
        <v>135831</v>
      </c>
      <c r="AW21" s="283">
        <v>129342</v>
      </c>
      <c r="AX21" s="283">
        <v>131778</v>
      </c>
      <c r="AY21" s="283">
        <v>111058</v>
      </c>
      <c r="AZ21" s="283">
        <v>107367</v>
      </c>
      <c r="BA21" s="283">
        <v>104532</v>
      </c>
      <c r="BB21" s="142"/>
      <c r="BC21" s="142"/>
    </row>
    <row r="22" spans="1:55" s="281" customFormat="1" ht="13.5" customHeight="1" x14ac:dyDescent="0.25">
      <c r="A22" s="142" t="s">
        <v>434</v>
      </c>
      <c r="B22" s="282">
        <v>75285</v>
      </c>
      <c r="C22" s="282">
        <v>74616</v>
      </c>
      <c r="D22" s="282">
        <v>70753</v>
      </c>
      <c r="E22" s="282">
        <v>70066</v>
      </c>
      <c r="F22" s="27">
        <v>71706</v>
      </c>
      <c r="G22" s="27">
        <v>76958</v>
      </c>
      <c r="H22" s="27">
        <v>80338</v>
      </c>
      <c r="I22" s="27">
        <v>77916</v>
      </c>
      <c r="J22" s="27">
        <v>77228</v>
      </c>
      <c r="K22" s="27">
        <v>76120</v>
      </c>
      <c r="L22" s="27">
        <v>75219</v>
      </c>
      <c r="M22" s="27">
        <v>75992</v>
      </c>
      <c r="N22" s="27">
        <v>75715</v>
      </c>
      <c r="O22" s="27">
        <f>'[6]Quadro 1'!$B$29</f>
        <v>82431</v>
      </c>
      <c r="P22" s="27">
        <v>86499</v>
      </c>
      <c r="Q22" s="27">
        <v>86105</v>
      </c>
      <c r="R22" s="27">
        <v>85268</v>
      </c>
      <c r="S22" s="27">
        <v>84628</v>
      </c>
      <c r="T22" s="27">
        <v>83694</v>
      </c>
      <c r="U22" s="27">
        <v>83119</v>
      </c>
      <c r="V22" s="282">
        <v>81943</v>
      </c>
      <c r="W22" s="282">
        <v>81113</v>
      </c>
      <c r="X22" s="282">
        <v>79909</v>
      </c>
      <c r="Y22" s="282">
        <v>79096</v>
      </c>
      <c r="Z22" s="282">
        <v>76196</v>
      </c>
      <c r="AA22" s="282">
        <v>80646</v>
      </c>
      <c r="AB22" s="282">
        <v>78906</v>
      </c>
      <c r="AC22" s="282">
        <v>77641</v>
      </c>
      <c r="AD22" s="282">
        <v>75395</v>
      </c>
      <c r="AE22" s="282">
        <v>65035</v>
      </c>
      <c r="AF22" s="282">
        <v>64487</v>
      </c>
      <c r="AG22" s="282">
        <v>64580</v>
      </c>
      <c r="AH22" s="282">
        <v>65609</v>
      </c>
      <c r="AI22" s="282">
        <v>65607</v>
      </c>
      <c r="AJ22" s="282">
        <v>97973</v>
      </c>
      <c r="AK22" s="282">
        <v>97261</v>
      </c>
      <c r="AL22" s="282">
        <v>81774</v>
      </c>
      <c r="AM22" s="282">
        <v>97802</v>
      </c>
      <c r="AN22" s="282">
        <v>96643</v>
      </c>
      <c r="AO22" s="282">
        <v>96318</v>
      </c>
      <c r="AP22" s="282">
        <v>97380</v>
      </c>
      <c r="AQ22" s="282">
        <v>140605</v>
      </c>
      <c r="AR22" s="282">
        <v>165759</v>
      </c>
      <c r="AS22" s="282">
        <v>97380</v>
      </c>
      <c r="AT22" s="282">
        <v>188661</v>
      </c>
      <c r="AU22" s="282">
        <v>198016</v>
      </c>
      <c r="AV22" s="282">
        <v>265643</v>
      </c>
      <c r="AW22" s="282">
        <v>289812</v>
      </c>
      <c r="AX22" s="282">
        <v>328891</v>
      </c>
      <c r="AY22" s="282">
        <v>35343</v>
      </c>
      <c r="AZ22" s="282">
        <v>38922</v>
      </c>
      <c r="BA22" s="282">
        <v>38180</v>
      </c>
      <c r="BB22" s="142"/>
      <c r="BC22" s="142"/>
    </row>
    <row r="23" spans="1:55" s="281" customFormat="1" ht="13.5" customHeight="1" x14ac:dyDescent="0.25">
      <c r="A23" s="142" t="s">
        <v>173</v>
      </c>
      <c r="B23" s="282">
        <v>236824</v>
      </c>
      <c r="C23" s="282">
        <v>234007</v>
      </c>
      <c r="D23" s="282">
        <v>311087</v>
      </c>
      <c r="E23" s="282">
        <v>316181</v>
      </c>
      <c r="F23" s="27">
        <v>312483</v>
      </c>
      <c r="G23" s="27">
        <v>350710</v>
      </c>
      <c r="H23" s="27">
        <v>339907</v>
      </c>
      <c r="I23" s="27">
        <v>337278</v>
      </c>
      <c r="J23" s="27">
        <v>409039</v>
      </c>
      <c r="K23" s="27">
        <v>358914</v>
      </c>
      <c r="L23" s="27">
        <v>346469</v>
      </c>
      <c r="M23" s="27">
        <v>331716</v>
      </c>
      <c r="N23" s="27">
        <v>293349</v>
      </c>
      <c r="O23" s="27">
        <f>'[6]Quadro 1'!$B$32</f>
        <v>268688</v>
      </c>
      <c r="P23" s="27">
        <v>260377</v>
      </c>
      <c r="Q23" s="27">
        <v>232727</v>
      </c>
      <c r="R23" s="27">
        <v>203908</v>
      </c>
      <c r="S23" s="27">
        <v>195022</v>
      </c>
      <c r="T23" s="27">
        <v>175943</v>
      </c>
      <c r="U23" s="27">
        <v>161778</v>
      </c>
      <c r="V23" s="282">
        <v>159892</v>
      </c>
      <c r="W23" s="282">
        <v>156810</v>
      </c>
      <c r="X23" s="282">
        <v>155564</v>
      </c>
      <c r="Y23" s="282">
        <v>143739</v>
      </c>
      <c r="Z23" s="282">
        <v>136065</v>
      </c>
      <c r="AA23" s="282">
        <v>158905</v>
      </c>
      <c r="AB23" s="282">
        <v>160103</v>
      </c>
      <c r="AC23" s="282">
        <v>159433</v>
      </c>
      <c r="AD23" s="282">
        <v>155219</v>
      </c>
      <c r="AE23" s="282">
        <v>167501</v>
      </c>
      <c r="AF23" s="282">
        <v>147458</v>
      </c>
      <c r="AG23" s="282">
        <v>160023</v>
      </c>
      <c r="AH23" s="282">
        <v>154248</v>
      </c>
      <c r="AI23" s="282">
        <v>170569</v>
      </c>
      <c r="AJ23" s="282">
        <v>155755</v>
      </c>
      <c r="AK23" s="282">
        <v>155064</v>
      </c>
      <c r="AL23" s="282">
        <v>134585</v>
      </c>
      <c r="AM23" s="282">
        <v>128743</v>
      </c>
      <c r="AN23" s="282">
        <v>131364</v>
      </c>
      <c r="AO23" s="282">
        <v>123242</v>
      </c>
      <c r="AP23" s="282">
        <v>118944</v>
      </c>
      <c r="AQ23" s="282">
        <v>196338</v>
      </c>
      <c r="AR23" s="282">
        <v>189117</v>
      </c>
      <c r="AS23" s="282">
        <v>118944</v>
      </c>
      <c r="AT23" s="282">
        <v>161554</v>
      </c>
      <c r="AU23" s="282">
        <v>161204</v>
      </c>
      <c r="AV23" s="282">
        <v>150747</v>
      </c>
      <c r="AW23" s="282">
        <v>163415</v>
      </c>
      <c r="AX23" s="282">
        <v>165662</v>
      </c>
      <c r="AY23" s="282">
        <v>170616</v>
      </c>
      <c r="AZ23" s="282">
        <v>169129</v>
      </c>
      <c r="BA23" s="282">
        <v>173581</v>
      </c>
      <c r="BB23" s="142"/>
      <c r="BC23" s="142"/>
    </row>
    <row r="24" spans="1:55" s="281" customFormat="1" ht="13.5" customHeight="1" x14ac:dyDescent="0.25">
      <c r="A24" s="284" t="s">
        <v>423</v>
      </c>
      <c r="B24" s="283">
        <v>999639</v>
      </c>
      <c r="C24" s="283">
        <v>936483</v>
      </c>
      <c r="D24" s="283">
        <v>886329</v>
      </c>
      <c r="E24" s="283">
        <v>838568</v>
      </c>
      <c r="F24" s="283">
        <v>872921</v>
      </c>
      <c r="G24" s="283">
        <v>819015</v>
      </c>
      <c r="H24" s="283">
        <v>779608</v>
      </c>
      <c r="I24" s="283">
        <v>748093</v>
      </c>
      <c r="J24" s="283">
        <v>733328</v>
      </c>
      <c r="K24" s="283">
        <v>712363</v>
      </c>
      <c r="L24" s="283">
        <v>698928</v>
      </c>
      <c r="M24" s="283">
        <v>690709</v>
      </c>
      <c r="N24" s="283">
        <v>685561</v>
      </c>
      <c r="O24" s="283">
        <f>'[6]Quadro 1'!$B$33</f>
        <v>592939</v>
      </c>
      <c r="P24" s="283">
        <v>571731</v>
      </c>
      <c r="Q24" s="283">
        <v>558714</v>
      </c>
      <c r="R24" s="283">
        <v>648892</v>
      </c>
      <c r="S24" s="283">
        <v>634769</v>
      </c>
      <c r="T24" s="283">
        <v>651925</v>
      </c>
      <c r="U24" s="283">
        <v>683417</v>
      </c>
      <c r="V24" s="283">
        <v>682828</v>
      </c>
      <c r="W24" s="283">
        <v>667937</v>
      </c>
      <c r="X24" s="283">
        <v>666751</v>
      </c>
      <c r="Y24" s="283">
        <v>634924</v>
      </c>
      <c r="Z24" s="283">
        <v>659147</v>
      </c>
      <c r="AA24" s="283">
        <v>620919</v>
      </c>
      <c r="AB24" s="283">
        <v>642473</v>
      </c>
      <c r="AC24" s="283">
        <v>632368</v>
      </c>
      <c r="AD24" s="283">
        <v>604538</v>
      </c>
      <c r="AE24" s="283">
        <v>575077</v>
      </c>
      <c r="AF24" s="283">
        <v>569384</v>
      </c>
      <c r="AG24" s="283">
        <v>581724</v>
      </c>
      <c r="AH24" s="283">
        <v>574673</v>
      </c>
      <c r="AI24" s="283">
        <v>573950</v>
      </c>
      <c r="AJ24" s="283">
        <v>556752</v>
      </c>
      <c r="AK24" s="283">
        <v>548477</v>
      </c>
      <c r="AL24" s="283">
        <v>558964</v>
      </c>
      <c r="AM24" s="283">
        <v>573181</v>
      </c>
      <c r="AN24" s="283">
        <v>556161</v>
      </c>
      <c r="AO24" s="283">
        <v>537446</v>
      </c>
      <c r="AP24" s="283">
        <v>494836</v>
      </c>
      <c r="AQ24" s="283">
        <v>448279</v>
      </c>
      <c r="AR24" s="283">
        <v>445303</v>
      </c>
      <c r="AS24" s="283">
        <v>494836</v>
      </c>
      <c r="AT24" s="283">
        <v>388031</v>
      </c>
      <c r="AU24" s="283">
        <v>363614</v>
      </c>
      <c r="AV24" s="283">
        <v>337557</v>
      </c>
      <c r="AW24" s="283">
        <v>327269</v>
      </c>
      <c r="AX24" s="283">
        <v>321179</v>
      </c>
      <c r="AY24" s="283">
        <v>298108</v>
      </c>
      <c r="AZ24" s="283">
        <v>292947</v>
      </c>
      <c r="BA24" s="283">
        <v>271985</v>
      </c>
      <c r="BB24" s="142"/>
      <c r="BC24" s="142"/>
    </row>
    <row r="25" spans="1:55" s="281" customFormat="1" ht="13.5" customHeight="1" x14ac:dyDescent="0.25">
      <c r="A25" s="142" t="s">
        <v>489</v>
      </c>
      <c r="B25" s="282">
        <v>4479</v>
      </c>
      <c r="C25" s="282">
        <v>0</v>
      </c>
      <c r="D25" s="282">
        <v>0</v>
      </c>
      <c r="E25" s="282">
        <v>2617</v>
      </c>
      <c r="F25" s="27">
        <v>2629</v>
      </c>
      <c r="G25" s="27">
        <v>0</v>
      </c>
      <c r="H25" s="27">
        <v>3144</v>
      </c>
      <c r="I25" s="27">
        <v>6096</v>
      </c>
      <c r="J25" s="27">
        <v>5165</v>
      </c>
      <c r="K25" s="27">
        <v>9808</v>
      </c>
      <c r="L25" s="27">
        <v>4658</v>
      </c>
      <c r="M25" s="27">
        <v>29133</v>
      </c>
      <c r="N25" s="27">
        <v>26188</v>
      </c>
      <c r="O25" s="27">
        <f>'[6]Quadro 1'!$B$34</f>
        <v>27029</v>
      </c>
      <c r="P25" s="27">
        <v>27018</v>
      </c>
      <c r="Q25" s="27">
        <v>26967</v>
      </c>
      <c r="R25" s="27">
        <v>35594</v>
      </c>
      <c r="S25" s="27"/>
      <c r="T25" s="27"/>
      <c r="U25" s="27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142"/>
      <c r="BC25" s="142"/>
    </row>
    <row r="26" spans="1:55" s="281" customFormat="1" ht="13.5" customHeight="1" x14ac:dyDescent="0.25">
      <c r="A26" s="19" t="s">
        <v>439</v>
      </c>
      <c r="B26" s="28">
        <v>48083</v>
      </c>
      <c r="C26" s="28">
        <v>43867</v>
      </c>
      <c r="D26" s="28">
        <v>46946</v>
      </c>
      <c r="E26" s="28">
        <v>55466</v>
      </c>
      <c r="F26" s="28">
        <v>51092</v>
      </c>
      <c r="G26" s="28">
        <v>79052</v>
      </c>
      <c r="H26" s="28">
        <v>80680</v>
      </c>
      <c r="I26" s="28">
        <v>83232</v>
      </c>
      <c r="J26" s="28">
        <v>85240</v>
      </c>
      <c r="K26" s="28">
        <v>147357</v>
      </c>
      <c r="L26" s="28">
        <v>148738</v>
      </c>
      <c r="M26" s="28">
        <v>141665</v>
      </c>
      <c r="N26" s="28">
        <v>143365</v>
      </c>
      <c r="O26" s="28">
        <v>150222</v>
      </c>
      <c r="P26" s="28">
        <v>145324</v>
      </c>
      <c r="Q26" s="28">
        <v>123853</v>
      </c>
      <c r="R26" s="28">
        <v>119322</v>
      </c>
      <c r="S26" s="28">
        <v>121661</v>
      </c>
      <c r="T26" s="28">
        <v>117647</v>
      </c>
      <c r="U26" s="28">
        <v>104168</v>
      </c>
      <c r="V26" s="283">
        <v>98965</v>
      </c>
      <c r="W26" s="283">
        <v>109041</v>
      </c>
      <c r="X26" s="283">
        <v>112632</v>
      </c>
      <c r="Y26" s="283">
        <v>32524</v>
      </c>
      <c r="Z26" s="283">
        <v>75582</v>
      </c>
      <c r="AA26" s="283">
        <v>77348</v>
      </c>
      <c r="AB26" s="283">
        <v>109355</v>
      </c>
      <c r="AC26" s="283">
        <v>106527</v>
      </c>
      <c r="AD26" s="283">
        <v>106375</v>
      </c>
      <c r="AE26" s="283">
        <v>117797</v>
      </c>
      <c r="AF26" s="283">
        <v>97156</v>
      </c>
      <c r="AG26" s="283">
        <v>94491</v>
      </c>
      <c r="AH26" s="283">
        <v>93567</v>
      </c>
      <c r="AI26" s="283">
        <v>93977</v>
      </c>
      <c r="AJ26" s="283">
        <v>93211</v>
      </c>
      <c r="AK26" s="283">
        <v>90202</v>
      </c>
      <c r="AL26" s="283">
        <v>90081</v>
      </c>
      <c r="AM26" s="283">
        <v>98615</v>
      </c>
      <c r="AN26" s="283">
        <v>105337</v>
      </c>
      <c r="AO26" s="283">
        <v>94683</v>
      </c>
      <c r="AP26" s="283">
        <v>103162</v>
      </c>
      <c r="AQ26" s="283">
        <v>82450</v>
      </c>
      <c r="AR26" s="283">
        <v>81105</v>
      </c>
      <c r="AS26" s="283">
        <v>103162</v>
      </c>
      <c r="AT26" s="283">
        <v>39907</v>
      </c>
      <c r="AU26" s="283">
        <v>66879</v>
      </c>
      <c r="AV26" s="283">
        <v>65271</v>
      </c>
      <c r="AW26" s="283">
        <v>19591</v>
      </c>
      <c r="AX26" s="283">
        <v>16533</v>
      </c>
      <c r="AY26" s="283">
        <v>14969</v>
      </c>
      <c r="AZ26" s="283">
        <v>15011</v>
      </c>
      <c r="BA26" s="283">
        <v>14948</v>
      </c>
      <c r="BB26" s="142"/>
      <c r="BC26" s="142"/>
    </row>
    <row r="27" spans="1:55" s="281" customFormat="1" ht="13.5" customHeight="1" x14ac:dyDescent="0.25">
      <c r="A27" s="142" t="s">
        <v>438</v>
      </c>
      <c r="B27" s="282">
        <v>0</v>
      </c>
      <c r="C27" s="282">
        <v>0</v>
      </c>
      <c r="D27" s="282">
        <v>0</v>
      </c>
      <c r="E27" s="282">
        <v>0</v>
      </c>
      <c r="F27" s="27">
        <v>0</v>
      </c>
      <c r="G27" s="27"/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2125</v>
      </c>
      <c r="O27" s="27">
        <f>'[6]Quadro 1'!$B$31</f>
        <v>2125</v>
      </c>
      <c r="P27" s="27">
        <v>2125</v>
      </c>
      <c r="Q27" s="27">
        <v>2125</v>
      </c>
      <c r="R27" s="27">
        <v>0</v>
      </c>
      <c r="S27" s="27">
        <v>0</v>
      </c>
      <c r="T27" s="27">
        <v>0</v>
      </c>
      <c r="U27" s="27">
        <v>0</v>
      </c>
      <c r="V27" s="282">
        <v>0</v>
      </c>
      <c r="W27" s="282">
        <v>0</v>
      </c>
      <c r="X27" s="282">
        <v>0</v>
      </c>
      <c r="Y27" s="282">
        <v>0</v>
      </c>
      <c r="Z27" s="282">
        <v>0</v>
      </c>
      <c r="AA27" s="282">
        <v>0</v>
      </c>
      <c r="AB27" s="282">
        <v>0</v>
      </c>
      <c r="AC27" s="282">
        <v>0</v>
      </c>
      <c r="AD27" s="282">
        <v>0</v>
      </c>
      <c r="AE27" s="282">
        <v>6066</v>
      </c>
      <c r="AF27" s="282">
        <v>6141</v>
      </c>
      <c r="AG27" s="282">
        <v>25430</v>
      </c>
      <c r="AH27" s="282">
        <v>23568</v>
      </c>
      <c r="AI27" s="282">
        <v>17590</v>
      </c>
      <c r="AJ27" s="282">
        <v>17590</v>
      </c>
      <c r="AK27" s="282">
        <v>17012</v>
      </c>
      <c r="AL27" s="282">
        <v>16432</v>
      </c>
      <c r="AM27" s="282">
        <v>16937</v>
      </c>
      <c r="AN27" s="282">
        <v>15630</v>
      </c>
      <c r="AO27" s="282">
        <v>111594</v>
      </c>
      <c r="AP27" s="282">
        <v>109790</v>
      </c>
      <c r="AQ27" s="282">
        <v>114498</v>
      </c>
      <c r="AR27" s="282">
        <v>112483</v>
      </c>
      <c r="AS27" s="282">
        <v>109790</v>
      </c>
      <c r="AT27" s="282">
        <v>20197</v>
      </c>
      <c r="AU27" s="282">
        <v>84224</v>
      </c>
      <c r="AV27" s="282">
        <v>82727</v>
      </c>
      <c r="AW27" s="282">
        <v>77489</v>
      </c>
      <c r="AX27" s="282">
        <v>76048</v>
      </c>
      <c r="AY27" s="282">
        <v>72204</v>
      </c>
      <c r="AZ27" s="282">
        <v>67723</v>
      </c>
      <c r="BA27" s="282">
        <v>63244</v>
      </c>
      <c r="BB27" s="142"/>
      <c r="BC27" s="142"/>
    </row>
    <row r="28" spans="1:55" s="281" customFormat="1" ht="13.5" customHeight="1" x14ac:dyDescent="0.25">
      <c r="A28" s="19" t="s">
        <v>491</v>
      </c>
      <c r="B28" s="28">
        <v>2511680</v>
      </c>
      <c r="C28" s="28">
        <v>2609858</v>
      </c>
      <c r="D28" s="28">
        <v>2393267</v>
      </c>
      <c r="E28" s="28">
        <v>2327270</v>
      </c>
      <c r="F28" s="28">
        <v>2057435</v>
      </c>
      <c r="G28" s="28">
        <v>2049272</v>
      </c>
      <c r="H28" s="28">
        <v>1797333</v>
      </c>
      <c r="I28" s="28">
        <v>1596868</v>
      </c>
      <c r="J28" s="28">
        <v>1424870</v>
      </c>
      <c r="K28" s="28">
        <v>1223537</v>
      </c>
      <c r="L28" s="28">
        <v>1021579</v>
      </c>
      <c r="M28" s="28">
        <v>859693</v>
      </c>
      <c r="N28" s="28">
        <v>756545</v>
      </c>
      <c r="O28" s="28">
        <f>'[6]Quadro 1'!$B$37</f>
        <v>1232009</v>
      </c>
      <c r="P28" s="28">
        <v>1241937</v>
      </c>
      <c r="Q28" s="28">
        <v>1191067</v>
      </c>
      <c r="R28" s="28">
        <v>1132922</v>
      </c>
      <c r="S28" s="28">
        <v>1293607</v>
      </c>
      <c r="T28" s="28">
        <v>1257643</v>
      </c>
      <c r="U28" s="28">
        <v>1238084</v>
      </c>
      <c r="V28" s="283">
        <v>1147522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142"/>
      <c r="BC28" s="142"/>
    </row>
    <row r="29" spans="1:55" s="281" customFormat="1" ht="13.5" customHeight="1" x14ac:dyDescent="0.25">
      <c r="A29" s="142" t="s">
        <v>435</v>
      </c>
      <c r="B29" s="282">
        <v>86852</v>
      </c>
      <c r="C29" s="282">
        <v>86393</v>
      </c>
      <c r="D29" s="282">
        <v>96602</v>
      </c>
      <c r="E29" s="282">
        <v>103774</v>
      </c>
      <c r="F29" s="27">
        <v>94275</v>
      </c>
      <c r="G29" s="27">
        <v>93598</v>
      </c>
      <c r="H29" s="27">
        <v>87219</v>
      </c>
      <c r="I29" s="27">
        <v>89998</v>
      </c>
      <c r="J29" s="27">
        <v>72699</v>
      </c>
      <c r="K29" s="27">
        <v>75063</v>
      </c>
      <c r="L29" s="27">
        <v>76208</v>
      </c>
      <c r="M29" s="27">
        <v>81702</v>
      </c>
      <c r="N29" s="27">
        <v>61716</v>
      </c>
      <c r="O29" s="27">
        <f>'[6]Quadro 1'!$B$36</f>
        <v>29301</v>
      </c>
      <c r="P29" s="27">
        <v>38789</v>
      </c>
      <c r="Q29" s="27">
        <v>48953</v>
      </c>
      <c r="R29" s="27">
        <v>57169</v>
      </c>
      <c r="S29" s="27">
        <v>53484</v>
      </c>
      <c r="T29" s="27">
        <v>56132</v>
      </c>
      <c r="U29" s="27">
        <v>36581</v>
      </c>
      <c r="V29" s="282">
        <v>0</v>
      </c>
      <c r="W29" s="282">
        <v>0</v>
      </c>
      <c r="X29" s="282">
        <v>0</v>
      </c>
      <c r="Y29" s="282">
        <v>0</v>
      </c>
      <c r="Z29" s="282">
        <v>0</v>
      </c>
      <c r="AA29" s="282">
        <v>0</v>
      </c>
      <c r="AB29" s="282">
        <v>0</v>
      </c>
      <c r="AC29" s="282">
        <v>0</v>
      </c>
      <c r="AD29" s="282">
        <v>0</v>
      </c>
      <c r="AE29" s="282">
        <v>0</v>
      </c>
      <c r="AF29" s="282">
        <v>0</v>
      </c>
      <c r="AG29" s="282">
        <v>0</v>
      </c>
      <c r="AH29" s="282">
        <v>0</v>
      </c>
      <c r="AI29" s="282">
        <v>0</v>
      </c>
      <c r="AJ29" s="282">
        <v>0</v>
      </c>
      <c r="AK29" s="282"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  <c r="AT29" s="282">
        <v>0</v>
      </c>
      <c r="AU29" s="282">
        <v>0</v>
      </c>
      <c r="AV29" s="282">
        <v>0</v>
      </c>
      <c r="AW29" s="282">
        <v>0</v>
      </c>
      <c r="AX29" s="282">
        <v>0</v>
      </c>
      <c r="AY29" s="282">
        <v>0</v>
      </c>
      <c r="AZ29" s="282">
        <v>0</v>
      </c>
      <c r="BA29" s="282">
        <v>0</v>
      </c>
      <c r="BB29" s="142"/>
      <c r="BC29" s="142"/>
    </row>
    <row r="30" spans="1:55" s="281" customFormat="1" ht="13.5" customHeight="1" x14ac:dyDescent="0.25">
      <c r="A30" s="19" t="s">
        <v>492</v>
      </c>
      <c r="B30" s="28">
        <v>274699</v>
      </c>
      <c r="C30" s="28">
        <v>274452</v>
      </c>
      <c r="D30" s="28">
        <v>253260</v>
      </c>
      <c r="E30" s="28">
        <v>256014</v>
      </c>
      <c r="F30" s="28">
        <v>245457</v>
      </c>
      <c r="G30" s="28">
        <v>249993</v>
      </c>
      <c r="H30" s="28">
        <v>222797</v>
      </c>
      <c r="I30" s="28">
        <v>227184</v>
      </c>
      <c r="J30" s="28">
        <v>202441</v>
      </c>
      <c r="K30" s="28">
        <v>206689</v>
      </c>
      <c r="L30" s="28">
        <v>186331</v>
      </c>
      <c r="M30" s="28">
        <v>189244</v>
      </c>
      <c r="N30" s="28">
        <v>165392</v>
      </c>
      <c r="O30" s="28">
        <f>'[6]Quadro 1'!$B$40</f>
        <v>163151</v>
      </c>
      <c r="P30" s="28">
        <v>145085</v>
      </c>
      <c r="Q30" s="28">
        <v>147127</v>
      </c>
      <c r="R30" s="28">
        <v>134243</v>
      </c>
      <c r="S30" s="28">
        <v>137616</v>
      </c>
      <c r="T30" s="28">
        <v>120887</v>
      </c>
      <c r="U30" s="28">
        <v>122561</v>
      </c>
      <c r="V30" s="283">
        <v>104857</v>
      </c>
      <c r="W30" s="283">
        <v>94519</v>
      </c>
      <c r="X30" s="283">
        <v>78800</v>
      </c>
      <c r="Y30" s="283">
        <v>154438</v>
      </c>
      <c r="Z30" s="283">
        <v>62287</v>
      </c>
      <c r="AA30" s="283">
        <v>44034</v>
      </c>
      <c r="AB30" s="283">
        <v>46238</v>
      </c>
      <c r="AC30" s="283">
        <v>48362</v>
      </c>
      <c r="AD30" s="283">
        <v>34290</v>
      </c>
      <c r="AE30" s="283">
        <v>26077</v>
      </c>
      <c r="AF30" s="283">
        <v>26594</v>
      </c>
      <c r="AG30" s="283">
        <v>18780</v>
      </c>
      <c r="AH30" s="283">
        <v>18068</v>
      </c>
      <c r="AI30" s="283">
        <v>18120</v>
      </c>
      <c r="AJ30" s="283">
        <v>17161</v>
      </c>
      <c r="AK30" s="283">
        <v>12310</v>
      </c>
      <c r="AL30" s="283">
        <v>13838</v>
      </c>
      <c r="AM30" s="283">
        <v>15506</v>
      </c>
      <c r="AN30" s="283">
        <v>18621</v>
      </c>
      <c r="AO30" s="283">
        <v>260</v>
      </c>
      <c r="AP30" s="283">
        <v>260</v>
      </c>
      <c r="AQ30" s="283">
        <v>260</v>
      </c>
      <c r="AR30" s="283">
        <v>260</v>
      </c>
      <c r="AS30" s="283">
        <v>260</v>
      </c>
      <c r="AT30" s="283">
        <v>45643</v>
      </c>
      <c r="AU30" s="283">
        <v>260</v>
      </c>
      <c r="AV30" s="283">
        <v>260</v>
      </c>
      <c r="AW30" s="283">
        <v>22063</v>
      </c>
      <c r="AX30" s="283">
        <v>22063</v>
      </c>
      <c r="AY30" s="283">
        <v>22063</v>
      </c>
      <c r="AZ30" s="283">
        <v>22063</v>
      </c>
      <c r="BA30" s="283">
        <v>22063</v>
      </c>
      <c r="BB30" s="142"/>
      <c r="BC30" s="142"/>
    </row>
    <row r="31" spans="1:55" s="281" customFormat="1" ht="13.5" customHeight="1" x14ac:dyDescent="0.25">
      <c r="A31" s="142" t="s">
        <v>436</v>
      </c>
      <c r="B31" s="282">
        <v>5570519</v>
      </c>
      <c r="C31" s="282">
        <v>5539800</v>
      </c>
      <c r="D31" s="282">
        <v>5529230</v>
      </c>
      <c r="E31" s="282">
        <v>5402368</v>
      </c>
      <c r="F31" s="27">
        <v>5497318</v>
      </c>
      <c r="G31" s="27">
        <v>5421953</v>
      </c>
      <c r="H31" s="27">
        <v>5467580</v>
      </c>
      <c r="I31" s="27">
        <v>5512653</v>
      </c>
      <c r="J31" s="27">
        <v>5592762</v>
      </c>
      <c r="K31" s="27">
        <v>5601658</v>
      </c>
      <c r="L31" s="27">
        <v>5661969</v>
      </c>
      <c r="M31" s="27">
        <v>5746038</v>
      </c>
      <c r="N31" s="27">
        <v>5867484</v>
      </c>
      <c r="O31" s="27">
        <f>'[6]Quadro 1'!$B$42</f>
        <v>5486899</v>
      </c>
      <c r="P31" s="27">
        <v>5454095</v>
      </c>
      <c r="Q31" s="27">
        <v>5523570</v>
      </c>
      <c r="R31" s="27">
        <v>5504374</v>
      </c>
      <c r="S31" s="27">
        <v>5249604</v>
      </c>
      <c r="T31" s="27">
        <v>5218649</v>
      </c>
      <c r="U31" s="27">
        <v>5140152</v>
      </c>
      <c r="V31" s="282">
        <v>5188492</v>
      </c>
      <c r="W31" s="282">
        <v>6256853</v>
      </c>
      <c r="X31" s="282">
        <v>6172905</v>
      </c>
      <c r="Y31" s="282">
        <v>6136501</v>
      </c>
      <c r="Z31" s="282">
        <v>6097405</v>
      </c>
      <c r="AA31" s="282">
        <v>6072097</v>
      </c>
      <c r="AB31" s="282">
        <v>6098949</v>
      </c>
      <c r="AC31" s="282">
        <v>7752906</v>
      </c>
      <c r="AD31" s="282">
        <v>7820570</v>
      </c>
      <c r="AE31" s="282">
        <v>7891001</v>
      </c>
      <c r="AF31" s="282">
        <v>7910374</v>
      </c>
      <c r="AG31" s="282">
        <v>7943232</v>
      </c>
      <c r="AH31" s="282">
        <v>7982931</v>
      </c>
      <c r="AI31" s="282">
        <v>7854782</v>
      </c>
      <c r="AJ31" s="282">
        <v>7745496</v>
      </c>
      <c r="AK31" s="282">
        <v>7679169</v>
      </c>
      <c r="AL31" s="282">
        <v>7558877</v>
      </c>
      <c r="AM31" s="282">
        <v>7366607</v>
      </c>
      <c r="AN31" s="282">
        <v>7115625</v>
      </c>
      <c r="AO31" s="282">
        <v>6979684</v>
      </c>
      <c r="AP31" s="282">
        <v>6900753</v>
      </c>
      <c r="AQ31" s="282">
        <v>6776619</v>
      </c>
      <c r="AR31" s="282">
        <v>6615899</v>
      </c>
      <c r="AS31" s="282">
        <v>6900753</v>
      </c>
      <c r="AT31" s="282">
        <v>6400225</v>
      </c>
      <c r="AU31" s="282">
        <v>6294319</v>
      </c>
      <c r="AV31" s="282">
        <v>6222048</v>
      </c>
      <c r="AW31" s="282">
        <v>6098131</v>
      </c>
      <c r="AX31" s="282">
        <v>6015805</v>
      </c>
      <c r="AY31" s="282">
        <v>5922897</v>
      </c>
      <c r="AZ31" s="282">
        <v>5822151</v>
      </c>
      <c r="BA31" s="282">
        <v>5736767</v>
      </c>
      <c r="BB31" s="142"/>
      <c r="BC31" s="142"/>
    </row>
    <row r="32" spans="1:55" s="281" customFormat="1" ht="13.5" customHeight="1" x14ac:dyDescent="0.25">
      <c r="A32" s="19" t="s">
        <v>437</v>
      </c>
      <c r="B32" s="28">
        <v>1757823</v>
      </c>
      <c r="C32" s="28">
        <v>1442914</v>
      </c>
      <c r="D32" s="28">
        <v>1433944</v>
      </c>
      <c r="E32" s="28">
        <v>1437806</v>
      </c>
      <c r="F32" s="28">
        <v>1467396</v>
      </c>
      <c r="G32" s="28">
        <v>1411791</v>
      </c>
      <c r="H32" s="28">
        <v>1425088</v>
      </c>
      <c r="I32" s="28">
        <v>1444608</v>
      </c>
      <c r="J32" s="28">
        <v>1470124</v>
      </c>
      <c r="K32" s="28">
        <v>1485673</v>
      </c>
      <c r="L32" s="28">
        <v>1511523</v>
      </c>
      <c r="M32" s="28">
        <v>1538248</v>
      </c>
      <c r="N32" s="28">
        <v>1518979</v>
      </c>
      <c r="O32" s="28">
        <f>'[6]Quadro 1'!$B$43</f>
        <v>1514377</v>
      </c>
      <c r="P32" s="28">
        <v>1538240</v>
      </c>
      <c r="Q32" s="28">
        <v>1564004</v>
      </c>
      <c r="R32" s="28">
        <v>1590303</v>
      </c>
      <c r="S32" s="28">
        <v>1610588</v>
      </c>
      <c r="T32" s="28">
        <v>1629390</v>
      </c>
      <c r="U32" s="28">
        <v>1649997</v>
      </c>
      <c r="V32" s="283">
        <v>1675029</v>
      </c>
      <c r="W32" s="283">
        <v>1689237</v>
      </c>
      <c r="X32" s="283">
        <v>1707719</v>
      </c>
      <c r="Y32" s="283">
        <v>1738707</v>
      </c>
      <c r="Z32" s="283">
        <v>1769541</v>
      </c>
      <c r="AA32" s="283">
        <v>1786445</v>
      </c>
      <c r="AB32" s="283">
        <v>1749214</v>
      </c>
      <c r="AC32" s="283">
        <v>133737</v>
      </c>
      <c r="AD32" s="283">
        <v>137922</v>
      </c>
      <c r="AE32" s="283">
        <v>140132</v>
      </c>
      <c r="AF32" s="283">
        <v>148098</v>
      </c>
      <c r="AG32" s="283">
        <v>157050</v>
      </c>
      <c r="AH32" s="283">
        <v>165019</v>
      </c>
      <c r="AI32" s="283">
        <v>173787</v>
      </c>
      <c r="AJ32" s="283">
        <v>181686</v>
      </c>
      <c r="AK32" s="283">
        <v>190570</v>
      </c>
      <c r="AL32" s="283">
        <v>195462</v>
      </c>
      <c r="AM32" s="283">
        <v>199014</v>
      </c>
      <c r="AN32" s="283">
        <v>202011</v>
      </c>
      <c r="AO32" s="283">
        <v>207242</v>
      </c>
      <c r="AP32" s="283">
        <v>205478</v>
      </c>
      <c r="AQ32" s="283">
        <v>204623</v>
      </c>
      <c r="AR32" s="283">
        <v>188129</v>
      </c>
      <c r="AS32" s="283">
        <v>205478</v>
      </c>
      <c r="AT32" s="283">
        <v>175333</v>
      </c>
      <c r="AU32" s="283">
        <v>180785</v>
      </c>
      <c r="AV32" s="283">
        <v>175608</v>
      </c>
      <c r="AW32" s="283">
        <v>161021</v>
      </c>
      <c r="AX32" s="283">
        <v>161552</v>
      </c>
      <c r="AY32" s="283">
        <v>107513</v>
      </c>
      <c r="AZ32" s="283">
        <v>103951</v>
      </c>
      <c r="BA32" s="283">
        <v>108368</v>
      </c>
      <c r="BB32" s="142"/>
      <c r="BC32" s="142"/>
    </row>
    <row r="33" spans="1:55" s="281" customFormat="1" ht="15" x14ac:dyDescent="0.25">
      <c r="A33" s="108"/>
      <c r="B33" s="282"/>
      <c r="C33" s="282"/>
      <c r="D33" s="282"/>
      <c r="E33" s="28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142"/>
      <c r="BC33" s="142"/>
    </row>
    <row r="34" spans="1:55" s="281" customFormat="1" ht="15.75" x14ac:dyDescent="0.25">
      <c r="A34" s="148" t="s">
        <v>41</v>
      </c>
      <c r="B34" s="146">
        <f t="shared" ref="B34:AG34" si="1">SUM(B20:B33)</f>
        <v>11683783</v>
      </c>
      <c r="C34" s="146">
        <f t="shared" si="1"/>
        <v>11348047</v>
      </c>
      <c r="D34" s="146">
        <f t="shared" si="1"/>
        <v>11121582</v>
      </c>
      <c r="E34" s="146">
        <f t="shared" si="1"/>
        <v>10909363</v>
      </c>
      <c r="F34" s="146">
        <f t="shared" si="1"/>
        <v>10768423</v>
      </c>
      <c r="G34" s="146">
        <f t="shared" si="1"/>
        <v>10643237</v>
      </c>
      <c r="H34" s="146">
        <f t="shared" si="1"/>
        <v>10377460</v>
      </c>
      <c r="I34" s="146">
        <f t="shared" si="1"/>
        <v>10217809</v>
      </c>
      <c r="J34" s="146">
        <f t="shared" si="1"/>
        <v>10175841</v>
      </c>
      <c r="K34" s="146">
        <f t="shared" si="1"/>
        <v>9962741</v>
      </c>
      <c r="L34" s="146">
        <f t="shared" si="1"/>
        <v>9794927</v>
      </c>
      <c r="M34" s="146">
        <f t="shared" si="1"/>
        <v>9752804</v>
      </c>
      <c r="N34" s="146">
        <f t="shared" si="1"/>
        <v>9788061</v>
      </c>
      <c r="O34" s="146">
        <f t="shared" si="1"/>
        <v>9752137</v>
      </c>
      <c r="P34" s="146">
        <f t="shared" si="1"/>
        <v>9708978</v>
      </c>
      <c r="Q34" s="146">
        <f t="shared" si="1"/>
        <v>9691638</v>
      </c>
      <c r="R34" s="146">
        <f t="shared" si="1"/>
        <v>9692765</v>
      </c>
      <c r="S34" s="146">
        <f t="shared" si="1"/>
        <v>9569057</v>
      </c>
      <c r="T34" s="146">
        <f t="shared" si="1"/>
        <v>9491626</v>
      </c>
      <c r="U34" s="146">
        <f t="shared" si="1"/>
        <v>9403258</v>
      </c>
      <c r="V34" s="146">
        <f t="shared" si="1"/>
        <v>9340964</v>
      </c>
      <c r="W34" s="146">
        <f t="shared" si="1"/>
        <v>9272984</v>
      </c>
      <c r="X34" s="146">
        <f t="shared" si="1"/>
        <v>9207628</v>
      </c>
      <c r="Y34" s="146">
        <f t="shared" si="1"/>
        <v>9158474</v>
      </c>
      <c r="Z34" s="146">
        <f t="shared" si="1"/>
        <v>9130882</v>
      </c>
      <c r="AA34" s="146">
        <f t="shared" si="1"/>
        <v>9105371</v>
      </c>
      <c r="AB34" s="146">
        <f t="shared" si="1"/>
        <v>9167480</v>
      </c>
      <c r="AC34" s="146">
        <f t="shared" si="1"/>
        <v>9201494</v>
      </c>
      <c r="AD34" s="146">
        <f t="shared" si="1"/>
        <v>9243615</v>
      </c>
      <c r="AE34" s="146">
        <f t="shared" si="1"/>
        <v>9307177</v>
      </c>
      <c r="AF34" s="146">
        <f t="shared" si="1"/>
        <v>9313724</v>
      </c>
      <c r="AG34" s="146">
        <f t="shared" si="1"/>
        <v>9406825</v>
      </c>
      <c r="AH34" s="146">
        <f t="shared" ref="AH34:BA34" si="2">SUM(AH20:AH33)</f>
        <v>9458194</v>
      </c>
      <c r="AI34" s="146">
        <f t="shared" si="2"/>
        <v>9339141</v>
      </c>
      <c r="AJ34" s="146">
        <f t="shared" si="2"/>
        <v>9214524</v>
      </c>
      <c r="AK34" s="146">
        <f t="shared" si="2"/>
        <v>9143924</v>
      </c>
      <c r="AL34" s="146">
        <f t="shared" si="2"/>
        <v>8984732</v>
      </c>
      <c r="AM34" s="146">
        <f t="shared" si="2"/>
        <v>8817718</v>
      </c>
      <c r="AN34" s="146">
        <f t="shared" si="2"/>
        <v>8559001</v>
      </c>
      <c r="AO34" s="146">
        <f t="shared" si="2"/>
        <v>8490448</v>
      </c>
      <c r="AP34" s="146">
        <f t="shared" si="2"/>
        <v>8376593</v>
      </c>
      <c r="AQ34" s="146">
        <f t="shared" si="2"/>
        <v>8302516</v>
      </c>
      <c r="AR34" s="146">
        <f t="shared" si="2"/>
        <v>8141101</v>
      </c>
      <c r="AS34" s="146">
        <f t="shared" si="2"/>
        <v>8376593</v>
      </c>
      <c r="AT34" s="146">
        <f t="shared" si="2"/>
        <v>7772512</v>
      </c>
      <c r="AU34" s="146">
        <f t="shared" si="2"/>
        <v>7694573</v>
      </c>
      <c r="AV34" s="146">
        <f t="shared" si="2"/>
        <v>7650467</v>
      </c>
      <c r="AW34" s="146">
        <f t="shared" si="2"/>
        <v>7505739</v>
      </c>
      <c r="AX34" s="146">
        <f t="shared" si="2"/>
        <v>7459571</v>
      </c>
      <c r="AY34" s="146">
        <f t="shared" si="2"/>
        <v>6963233</v>
      </c>
      <c r="AZ34" s="146">
        <f t="shared" si="2"/>
        <v>6849320</v>
      </c>
      <c r="BA34" s="146">
        <f t="shared" si="2"/>
        <v>6744964</v>
      </c>
      <c r="BB34" s="142"/>
      <c r="BC34" s="142"/>
    </row>
    <row r="35" spans="1:55" s="281" customFormat="1" ht="15.75" x14ac:dyDescent="0.25">
      <c r="A35" s="282"/>
      <c r="B35" s="29"/>
      <c r="C35" s="29"/>
      <c r="D35" s="29"/>
      <c r="E35" s="29"/>
      <c r="F35" s="282"/>
      <c r="G35" s="282"/>
      <c r="H35" s="282"/>
      <c r="I35" s="28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142"/>
      <c r="BC35" s="142"/>
    </row>
    <row r="36" spans="1:55" s="281" customFormat="1" ht="15.75" x14ac:dyDescent="0.25">
      <c r="A36" s="148" t="s">
        <v>166</v>
      </c>
      <c r="B36" s="146">
        <v>14173991</v>
      </c>
      <c r="C36" s="146">
        <f t="shared" ref="C36:AG36" si="3">C34+C16</f>
        <v>14001294</v>
      </c>
      <c r="D36" s="146">
        <f t="shared" si="3"/>
        <v>13498836</v>
      </c>
      <c r="E36" s="146">
        <f t="shared" si="3"/>
        <v>13541775</v>
      </c>
      <c r="F36" s="146">
        <f t="shared" si="3"/>
        <v>13175980</v>
      </c>
      <c r="G36" s="146">
        <f t="shared" si="3"/>
        <v>12454700</v>
      </c>
      <c r="H36" s="146">
        <f t="shared" si="3"/>
        <v>12475918</v>
      </c>
      <c r="I36" s="146">
        <f t="shared" si="3"/>
        <v>12304427</v>
      </c>
      <c r="J36" s="146">
        <f t="shared" si="3"/>
        <v>12696792</v>
      </c>
      <c r="K36" s="146">
        <f t="shared" si="3"/>
        <v>12705960</v>
      </c>
      <c r="L36" s="146">
        <f t="shared" si="3"/>
        <v>11887386</v>
      </c>
      <c r="M36" s="146">
        <f t="shared" si="3"/>
        <v>11847275</v>
      </c>
      <c r="N36" s="146">
        <f t="shared" si="3"/>
        <v>11762554</v>
      </c>
      <c r="O36" s="146">
        <f t="shared" si="3"/>
        <v>12028634</v>
      </c>
      <c r="P36" s="146">
        <f t="shared" si="3"/>
        <v>11854115</v>
      </c>
      <c r="Q36" s="146">
        <f t="shared" si="3"/>
        <v>11694504</v>
      </c>
      <c r="R36" s="146">
        <f t="shared" si="3"/>
        <v>11520769</v>
      </c>
      <c r="S36" s="146">
        <f t="shared" si="3"/>
        <v>11448844</v>
      </c>
      <c r="T36" s="146">
        <f t="shared" si="3"/>
        <v>11382091</v>
      </c>
      <c r="U36" s="146">
        <f t="shared" si="3"/>
        <v>11230763</v>
      </c>
      <c r="V36" s="146">
        <f t="shared" si="3"/>
        <v>11165962</v>
      </c>
      <c r="W36" s="146">
        <f t="shared" si="3"/>
        <v>11084638</v>
      </c>
      <c r="X36" s="146">
        <f t="shared" si="3"/>
        <v>10701499</v>
      </c>
      <c r="Y36" s="146">
        <f t="shared" si="3"/>
        <v>11015389</v>
      </c>
      <c r="Z36" s="146">
        <f t="shared" si="3"/>
        <v>10801093</v>
      </c>
      <c r="AA36" s="146">
        <f t="shared" si="3"/>
        <v>10969232</v>
      </c>
      <c r="AB36" s="146">
        <f t="shared" si="3"/>
        <v>10916918</v>
      </c>
      <c r="AC36" s="146">
        <f t="shared" si="3"/>
        <v>10933028</v>
      </c>
      <c r="AD36" s="146">
        <f t="shared" si="3"/>
        <v>10940114</v>
      </c>
      <c r="AE36" s="146">
        <f t="shared" si="3"/>
        <v>10957142</v>
      </c>
      <c r="AF36" s="146">
        <f t="shared" si="3"/>
        <v>10734067</v>
      </c>
      <c r="AG36" s="146">
        <f t="shared" si="3"/>
        <v>10748700</v>
      </c>
      <c r="AH36" s="146">
        <f t="shared" ref="AH36:BA36" si="4">AH34+AH16</f>
        <v>10938168</v>
      </c>
      <c r="AI36" s="146">
        <f t="shared" si="4"/>
        <v>10881371</v>
      </c>
      <c r="AJ36" s="146">
        <f t="shared" si="4"/>
        <v>10419795</v>
      </c>
      <c r="AK36" s="146">
        <f t="shared" si="4"/>
        <v>10243432</v>
      </c>
      <c r="AL36" s="146">
        <f t="shared" si="4"/>
        <v>10154641</v>
      </c>
      <c r="AM36" s="146">
        <f t="shared" si="4"/>
        <v>9800876</v>
      </c>
      <c r="AN36" s="146">
        <f t="shared" si="4"/>
        <v>9634103</v>
      </c>
      <c r="AO36" s="146">
        <f t="shared" si="4"/>
        <v>9514970</v>
      </c>
      <c r="AP36" s="146">
        <f t="shared" si="4"/>
        <v>9456301</v>
      </c>
      <c r="AQ36" s="146">
        <f t="shared" si="4"/>
        <v>9370249</v>
      </c>
      <c r="AR36" s="146">
        <f t="shared" si="4"/>
        <v>9324778</v>
      </c>
      <c r="AS36" s="146">
        <f t="shared" si="4"/>
        <v>9456301</v>
      </c>
      <c r="AT36" s="146">
        <f t="shared" si="4"/>
        <v>8992688</v>
      </c>
      <c r="AU36" s="146">
        <f t="shared" si="4"/>
        <v>8976363</v>
      </c>
      <c r="AV36" s="146">
        <f t="shared" si="4"/>
        <v>8897097</v>
      </c>
      <c r="AW36" s="146">
        <f t="shared" si="4"/>
        <v>8822192</v>
      </c>
      <c r="AX36" s="146">
        <f t="shared" si="4"/>
        <v>8274201</v>
      </c>
      <c r="AY36" s="146">
        <f t="shared" si="4"/>
        <v>7851346</v>
      </c>
      <c r="AZ36" s="146">
        <f t="shared" si="4"/>
        <v>7564580</v>
      </c>
      <c r="BA36" s="146">
        <f t="shared" si="4"/>
        <v>7436846</v>
      </c>
      <c r="BB36" s="286"/>
      <c r="BC36" s="142"/>
    </row>
    <row r="37" spans="1:55" s="281" customFormat="1" ht="15" x14ac:dyDescent="0.25">
      <c r="A37" s="108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142"/>
      <c r="BC37" s="142"/>
    </row>
    <row r="38" spans="1:55" s="281" customFormat="1" ht="15.75" x14ac:dyDescent="0.25">
      <c r="A38" s="147" t="s">
        <v>167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2"/>
      <c r="BC38" s="142"/>
    </row>
    <row r="39" spans="1:55" s="281" customFormat="1" ht="15.75" x14ac:dyDescent="0.25">
      <c r="A39" s="147" t="s">
        <v>168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2"/>
      <c r="BC39" s="142"/>
    </row>
    <row r="40" spans="1:55" s="281" customFormat="1" ht="13.5" customHeight="1" x14ac:dyDescent="0.25">
      <c r="A40" s="23"/>
      <c r="B40" s="26"/>
      <c r="C40" s="26"/>
      <c r="D40" s="26"/>
      <c r="E40" s="26"/>
      <c r="F40" s="26"/>
      <c r="G40" s="283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142"/>
      <c r="BC40" s="142"/>
    </row>
    <row r="41" spans="1:55" s="281" customFormat="1" ht="13.5" customHeight="1" x14ac:dyDescent="0.25">
      <c r="A41" s="142" t="s">
        <v>42</v>
      </c>
      <c r="B41" s="282">
        <v>113975</v>
      </c>
      <c r="C41" s="282">
        <v>119066</v>
      </c>
      <c r="D41" s="282">
        <v>116462</v>
      </c>
      <c r="E41" s="282">
        <v>140586</v>
      </c>
      <c r="F41" s="27">
        <v>150328</v>
      </c>
      <c r="G41" s="27">
        <v>162604</v>
      </c>
      <c r="H41" s="27">
        <v>179285</v>
      </c>
      <c r="I41" s="27">
        <v>178133</v>
      </c>
      <c r="J41" s="27">
        <v>190315</v>
      </c>
      <c r="K41" s="27">
        <v>190146</v>
      </c>
      <c r="L41" s="27">
        <v>184415</v>
      </c>
      <c r="M41" s="27">
        <v>222433</v>
      </c>
      <c r="N41" s="27">
        <v>201851</v>
      </c>
      <c r="O41" s="27">
        <f>'[6]Quadro 1'!$B$78</f>
        <v>207961</v>
      </c>
      <c r="P41" s="27">
        <v>178540</v>
      </c>
      <c r="Q41" s="27">
        <v>184724</v>
      </c>
      <c r="R41" s="27">
        <v>170450</v>
      </c>
      <c r="S41" s="27">
        <v>175023</v>
      </c>
      <c r="T41" s="27">
        <v>172227</v>
      </c>
      <c r="U41" s="27">
        <v>176113</v>
      </c>
      <c r="V41" s="282">
        <v>173736</v>
      </c>
      <c r="W41" s="282">
        <v>180427</v>
      </c>
      <c r="X41" s="282">
        <v>172812</v>
      </c>
      <c r="Y41" s="282">
        <v>169788</v>
      </c>
      <c r="Z41" s="282">
        <v>165756</v>
      </c>
      <c r="AA41" s="282">
        <v>163507</v>
      </c>
      <c r="AB41" s="282">
        <v>159784</v>
      </c>
      <c r="AC41" s="282">
        <v>155008</v>
      </c>
      <c r="AD41" s="282">
        <v>146441</v>
      </c>
      <c r="AE41" s="282">
        <v>149672</v>
      </c>
      <c r="AF41" s="282">
        <v>146866</v>
      </c>
      <c r="AG41" s="282">
        <v>174841</v>
      </c>
      <c r="AH41" s="282">
        <v>188634</v>
      </c>
      <c r="AI41" s="282">
        <v>355484</v>
      </c>
      <c r="AJ41" s="282">
        <v>347859</v>
      </c>
      <c r="AK41" s="282">
        <v>339146</v>
      </c>
      <c r="AL41" s="282">
        <v>326153</v>
      </c>
      <c r="AM41" s="282">
        <v>167790</v>
      </c>
      <c r="AN41" s="282">
        <v>166181</v>
      </c>
      <c r="AO41" s="282">
        <v>195804</v>
      </c>
      <c r="AP41" s="282">
        <v>196259</v>
      </c>
      <c r="AQ41" s="282">
        <v>213823</v>
      </c>
      <c r="AR41" s="282">
        <v>221389</v>
      </c>
      <c r="AS41" s="282">
        <v>196259</v>
      </c>
      <c r="AT41" s="282">
        <v>228981</v>
      </c>
      <c r="AU41" s="282">
        <v>225642</v>
      </c>
      <c r="AV41" s="282">
        <v>385186</v>
      </c>
      <c r="AW41" s="282">
        <v>379174</v>
      </c>
      <c r="AX41" s="282">
        <v>371225</v>
      </c>
      <c r="AY41" s="282">
        <v>349835</v>
      </c>
      <c r="AZ41" s="282">
        <v>180991</v>
      </c>
      <c r="BA41" s="282">
        <v>164629</v>
      </c>
      <c r="BB41" s="142"/>
      <c r="BC41" s="142"/>
    </row>
    <row r="42" spans="1:55" s="281" customFormat="1" ht="13.5" customHeight="1" x14ac:dyDescent="0.25">
      <c r="A42" s="19" t="s">
        <v>43</v>
      </c>
      <c r="B42" s="28">
        <v>567681</v>
      </c>
      <c r="C42" s="28">
        <v>565445</v>
      </c>
      <c r="D42" s="28">
        <v>737606</v>
      </c>
      <c r="E42" s="28">
        <v>686549</v>
      </c>
      <c r="F42" s="28">
        <v>790543</v>
      </c>
      <c r="G42" s="28">
        <v>729194</v>
      </c>
      <c r="H42" s="28">
        <v>729125</v>
      </c>
      <c r="I42" s="28">
        <v>657010</v>
      </c>
      <c r="J42" s="28">
        <v>609822</v>
      </c>
      <c r="K42" s="28">
        <v>538683</v>
      </c>
      <c r="L42" s="28">
        <v>505526</v>
      </c>
      <c r="M42" s="28">
        <v>613937</v>
      </c>
      <c r="N42" s="28">
        <v>393905</v>
      </c>
      <c r="O42" s="28">
        <f>'[6]Quadro 1'!$B$79</f>
        <v>362218</v>
      </c>
      <c r="P42" s="28">
        <v>151171</v>
      </c>
      <c r="Q42" s="28">
        <v>205343</v>
      </c>
      <c r="R42" s="28">
        <v>214489</v>
      </c>
      <c r="S42" s="28">
        <v>208316</v>
      </c>
      <c r="T42" s="28">
        <v>244911</v>
      </c>
      <c r="U42" s="28">
        <v>368910</v>
      </c>
      <c r="V42" s="283">
        <v>441996</v>
      </c>
      <c r="W42" s="283">
        <v>408974</v>
      </c>
      <c r="X42" s="283">
        <v>568199</v>
      </c>
      <c r="Y42" s="283">
        <v>433693</v>
      </c>
      <c r="Z42" s="283">
        <v>432536</v>
      </c>
      <c r="AA42" s="283">
        <v>422198</v>
      </c>
      <c r="AB42" s="283">
        <v>422561</v>
      </c>
      <c r="AC42" s="283">
        <v>393054</v>
      </c>
      <c r="AD42" s="283">
        <v>365469</v>
      </c>
      <c r="AE42" s="283">
        <v>321347</v>
      </c>
      <c r="AF42" s="283">
        <v>338218</v>
      </c>
      <c r="AG42" s="283">
        <v>304417</v>
      </c>
      <c r="AH42" s="283">
        <v>300777</v>
      </c>
      <c r="AI42" s="283">
        <v>284923</v>
      </c>
      <c r="AJ42" s="283">
        <v>292948</v>
      </c>
      <c r="AK42" s="283">
        <v>287605</v>
      </c>
      <c r="AL42" s="283">
        <v>281779</v>
      </c>
      <c r="AM42" s="283">
        <v>261300</v>
      </c>
      <c r="AN42" s="283">
        <v>272212</v>
      </c>
      <c r="AO42" s="283">
        <v>263644</v>
      </c>
      <c r="AP42" s="283">
        <v>275267</v>
      </c>
      <c r="AQ42" s="283">
        <v>260515</v>
      </c>
      <c r="AR42" s="283">
        <v>224082</v>
      </c>
      <c r="AS42" s="283">
        <v>275267</v>
      </c>
      <c r="AT42" s="283">
        <v>134024</v>
      </c>
      <c r="AU42" s="283">
        <v>114825</v>
      </c>
      <c r="AV42" s="283">
        <v>113377</v>
      </c>
      <c r="AW42" s="283">
        <v>181419</v>
      </c>
      <c r="AX42" s="283">
        <v>172457</v>
      </c>
      <c r="AY42" s="283">
        <v>170959</v>
      </c>
      <c r="AZ42" s="283">
        <v>166985</v>
      </c>
      <c r="BA42" s="283">
        <v>100875</v>
      </c>
      <c r="BB42" s="142"/>
      <c r="BC42" s="142"/>
    </row>
    <row r="43" spans="1:55" s="281" customFormat="1" ht="13.5" customHeight="1" x14ac:dyDescent="0.25">
      <c r="A43" s="142" t="s">
        <v>51</v>
      </c>
      <c r="B43" s="282">
        <v>45752</v>
      </c>
      <c r="C43" s="282">
        <v>48243</v>
      </c>
      <c r="D43" s="282">
        <v>50733</v>
      </c>
      <c r="E43" s="282">
        <v>38266</v>
      </c>
      <c r="F43" s="27">
        <v>36792</v>
      </c>
      <c r="G43" s="27">
        <v>36915</v>
      </c>
      <c r="H43" s="27">
        <v>37038</v>
      </c>
      <c r="I43" s="27">
        <v>50281</v>
      </c>
      <c r="J43" s="27">
        <v>52331</v>
      </c>
      <c r="K43" s="27">
        <v>54557</v>
      </c>
      <c r="L43" s="27">
        <v>56782</v>
      </c>
      <c r="M43" s="27">
        <v>59008</v>
      </c>
      <c r="N43" s="27">
        <v>47975</v>
      </c>
      <c r="O43" s="27">
        <f>'[6]Quadro 1'!$B$81</f>
        <v>55180</v>
      </c>
      <c r="P43" s="27">
        <v>62386</v>
      </c>
      <c r="Q43" s="27">
        <v>55914</v>
      </c>
      <c r="R43" s="27">
        <v>59985</v>
      </c>
      <c r="S43" s="27">
        <v>63802</v>
      </c>
      <c r="T43" s="27">
        <v>67619</v>
      </c>
      <c r="U43" s="27">
        <v>65673</v>
      </c>
      <c r="V43" s="282">
        <v>64384</v>
      </c>
      <c r="W43" s="282">
        <v>64608</v>
      </c>
      <c r="X43" s="282">
        <v>64833</v>
      </c>
      <c r="Y43" s="282">
        <v>72248</v>
      </c>
      <c r="Z43" s="282">
        <v>74411</v>
      </c>
      <c r="AA43" s="282">
        <v>78235</v>
      </c>
      <c r="AB43" s="282">
        <v>96774</v>
      </c>
      <c r="AC43" s="282">
        <v>100497</v>
      </c>
      <c r="AD43" s="282">
        <v>108581</v>
      </c>
      <c r="AE43" s="282">
        <v>22301</v>
      </c>
      <c r="AF43" s="282">
        <v>49052</v>
      </c>
      <c r="AG43" s="282">
        <v>65727</v>
      </c>
      <c r="AH43" s="282">
        <v>0</v>
      </c>
      <c r="AI43" s="282">
        <v>0</v>
      </c>
      <c r="AJ43" s="282">
        <v>0</v>
      </c>
      <c r="AK43" s="282"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  <c r="AT43" s="282">
        <v>0</v>
      </c>
      <c r="AU43" s="282">
        <v>0</v>
      </c>
      <c r="AV43" s="282">
        <v>0</v>
      </c>
      <c r="AW43" s="282">
        <v>0</v>
      </c>
      <c r="AX43" s="282">
        <v>0</v>
      </c>
      <c r="AY43" s="282">
        <v>0</v>
      </c>
      <c r="AZ43" s="282">
        <v>0</v>
      </c>
      <c r="BA43" s="282">
        <v>0</v>
      </c>
      <c r="BB43" s="142"/>
      <c r="BC43" s="142"/>
    </row>
    <row r="44" spans="1:55" s="281" customFormat="1" ht="13.5" customHeight="1" x14ac:dyDescent="0.25">
      <c r="A44" s="142" t="s">
        <v>424</v>
      </c>
      <c r="B44" s="282">
        <v>377766</v>
      </c>
      <c r="C44" s="282">
        <v>326247</v>
      </c>
      <c r="D44" s="282">
        <v>306347</v>
      </c>
      <c r="E44" s="282">
        <v>289113</v>
      </c>
      <c r="F44" s="27">
        <v>289620</v>
      </c>
      <c r="G44" s="27">
        <v>257497</v>
      </c>
      <c r="H44" s="27">
        <v>278565</v>
      </c>
      <c r="I44" s="27">
        <v>239585</v>
      </c>
      <c r="J44" s="27">
        <v>287977</v>
      </c>
      <c r="K44" s="27">
        <v>230946</v>
      </c>
      <c r="L44" s="27">
        <v>215676</v>
      </c>
      <c r="M44" s="27">
        <v>175550</v>
      </c>
      <c r="N44" s="27">
        <v>206177</v>
      </c>
      <c r="O44" s="27">
        <f>'[6]Quadro 1'!$B$75</f>
        <v>203751</v>
      </c>
      <c r="P44" s="27">
        <v>183551</v>
      </c>
      <c r="Q44" s="27">
        <v>155152</v>
      </c>
      <c r="R44" s="27">
        <v>176302</v>
      </c>
      <c r="S44" s="27">
        <v>176719</v>
      </c>
      <c r="T44" s="27">
        <v>176493</v>
      </c>
      <c r="U44" s="27">
        <v>182999</v>
      </c>
      <c r="V44" s="282">
        <v>206999</v>
      </c>
      <c r="W44" s="282">
        <v>214263</v>
      </c>
      <c r="X44" s="282">
        <v>191417</v>
      </c>
      <c r="Y44" s="282">
        <v>171440</v>
      </c>
      <c r="Z44" s="282">
        <v>191866</v>
      </c>
      <c r="AA44" s="282">
        <v>171837</v>
      </c>
      <c r="AB44" s="282">
        <v>138927</v>
      </c>
      <c r="AC44" s="282">
        <v>144783</v>
      </c>
      <c r="AD44" s="282">
        <v>149394</v>
      </c>
      <c r="AE44" s="282">
        <v>124751</v>
      </c>
      <c r="AF44" s="282">
        <v>108590</v>
      </c>
      <c r="AG44" s="282">
        <v>125867</v>
      </c>
      <c r="AH44" s="282">
        <v>159152</v>
      </c>
      <c r="AI44" s="282">
        <v>135412</v>
      </c>
      <c r="AJ44" s="282">
        <v>117150</v>
      </c>
      <c r="AK44" s="282">
        <v>95761</v>
      </c>
      <c r="AL44" s="282">
        <v>114433</v>
      </c>
      <c r="AM44" s="282">
        <v>144673</v>
      </c>
      <c r="AN44" s="282">
        <v>148980</v>
      </c>
      <c r="AO44" s="282">
        <v>130189</v>
      </c>
      <c r="AP44" s="282">
        <v>135338</v>
      </c>
      <c r="AQ44" s="282">
        <v>158841</v>
      </c>
      <c r="AR44" s="282">
        <v>172875</v>
      </c>
      <c r="AS44" s="282">
        <v>135338</v>
      </c>
      <c r="AT44" s="282">
        <v>157397</v>
      </c>
      <c r="AU44" s="282">
        <v>145987</v>
      </c>
      <c r="AV44" s="282">
        <v>133231</v>
      </c>
      <c r="AW44" s="282">
        <v>123047</v>
      </c>
      <c r="AX44" s="282">
        <v>108068</v>
      </c>
      <c r="AY44" s="282">
        <v>117688</v>
      </c>
      <c r="AZ44" s="282">
        <v>113592</v>
      </c>
      <c r="BA44" s="282">
        <v>123891</v>
      </c>
      <c r="BB44" s="142"/>
      <c r="BC44" s="142"/>
    </row>
    <row r="45" spans="1:55" s="281" customFormat="1" ht="13.5" customHeight="1" x14ac:dyDescent="0.25">
      <c r="A45" s="284" t="s">
        <v>425</v>
      </c>
      <c r="B45" s="283">
        <v>47457</v>
      </c>
      <c r="C45" s="283">
        <v>40539</v>
      </c>
      <c r="D45" s="283">
        <v>40259</v>
      </c>
      <c r="E45" s="283">
        <v>39986</v>
      </c>
      <c r="F45" s="283">
        <v>35112</v>
      </c>
      <c r="G45" s="283">
        <v>32009</v>
      </c>
      <c r="H45" s="283">
        <v>30332</v>
      </c>
      <c r="I45" s="283">
        <v>30669</v>
      </c>
      <c r="J45" s="283">
        <v>26308</v>
      </c>
      <c r="K45" s="283">
        <v>26678</v>
      </c>
      <c r="L45" s="283">
        <v>27234</v>
      </c>
      <c r="M45" s="283">
        <v>28177</v>
      </c>
      <c r="N45" s="283">
        <v>32623</v>
      </c>
      <c r="O45" s="283">
        <f>'[6]Quadro 1'!$B$80</f>
        <v>17959</v>
      </c>
      <c r="P45" s="283">
        <v>23844</v>
      </c>
      <c r="Q45" s="283">
        <v>31312</v>
      </c>
      <c r="R45" s="283">
        <v>37166</v>
      </c>
      <c r="S45" s="283">
        <v>30119</v>
      </c>
      <c r="T45" s="283">
        <v>29549</v>
      </c>
      <c r="U45" s="283">
        <v>8039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v>0</v>
      </c>
      <c r="AY45" s="283">
        <v>0</v>
      </c>
      <c r="AZ45" s="283">
        <v>0</v>
      </c>
      <c r="BA45" s="283">
        <v>0</v>
      </c>
      <c r="BB45" s="142"/>
      <c r="BC45" s="142"/>
    </row>
    <row r="46" spans="1:55" s="281" customFormat="1" ht="13.5" customHeight="1" x14ac:dyDescent="0.25">
      <c r="A46" s="142" t="s">
        <v>426</v>
      </c>
      <c r="B46" s="282">
        <v>111914</v>
      </c>
      <c r="C46" s="282">
        <v>96891</v>
      </c>
      <c r="D46" s="282">
        <v>89781</v>
      </c>
      <c r="E46" s="282">
        <v>94529</v>
      </c>
      <c r="F46" s="27">
        <v>98125</v>
      </c>
      <c r="G46" s="27">
        <f>145345+75861</f>
        <v>221206</v>
      </c>
      <c r="H46" s="27">
        <v>71548</v>
      </c>
      <c r="I46" s="27">
        <v>116132</v>
      </c>
      <c r="J46" s="27">
        <v>75100</v>
      </c>
      <c r="K46" s="27">
        <v>75721</v>
      </c>
      <c r="L46" s="27">
        <v>70532</v>
      </c>
      <c r="M46" s="27">
        <v>70524</v>
      </c>
      <c r="N46" s="27">
        <v>79680</v>
      </c>
      <c r="O46" s="27">
        <f>'[6]Quadro 1'!$B$77</f>
        <v>166628</v>
      </c>
      <c r="P46" s="27">
        <v>222652</v>
      </c>
      <c r="Q46" s="27">
        <v>88196</v>
      </c>
      <c r="R46" s="27">
        <v>76719</v>
      </c>
      <c r="S46" s="27">
        <v>103912</v>
      </c>
      <c r="T46" s="27">
        <v>80499</v>
      </c>
      <c r="U46" s="27">
        <v>74649</v>
      </c>
      <c r="V46" s="282">
        <v>71699</v>
      </c>
      <c r="W46" s="282">
        <v>71802</v>
      </c>
      <c r="X46" s="282">
        <v>59076</v>
      </c>
      <c r="Y46" s="282">
        <v>62642</v>
      </c>
      <c r="Z46" s="282">
        <v>67632</v>
      </c>
      <c r="AA46" s="282">
        <v>86646</v>
      </c>
      <c r="AB46" s="282">
        <v>52579</v>
      </c>
      <c r="AC46" s="282">
        <v>61732</v>
      </c>
      <c r="AD46" s="282">
        <v>57771</v>
      </c>
      <c r="AE46" s="282">
        <v>72846</v>
      </c>
      <c r="AF46" s="282">
        <v>57616</v>
      </c>
      <c r="AG46" s="282">
        <v>47868</v>
      </c>
      <c r="AH46" s="282">
        <v>56220</v>
      </c>
      <c r="AI46" s="282">
        <v>52107</v>
      </c>
      <c r="AJ46" s="282">
        <v>52817</v>
      </c>
      <c r="AK46" s="282">
        <v>41243</v>
      </c>
      <c r="AL46" s="282">
        <v>50289</v>
      </c>
      <c r="AM46" s="282">
        <v>54902</v>
      </c>
      <c r="AN46" s="282">
        <v>55065</v>
      </c>
      <c r="AO46" s="282">
        <v>58637</v>
      </c>
      <c r="AP46" s="282">
        <v>53385</v>
      </c>
      <c r="AQ46" s="282">
        <v>63502</v>
      </c>
      <c r="AR46" s="282">
        <v>56311</v>
      </c>
      <c r="AS46" s="282">
        <v>53764</v>
      </c>
      <c r="AT46" s="282">
        <v>47293</v>
      </c>
      <c r="AU46" s="282">
        <v>52186</v>
      </c>
      <c r="AV46" s="282">
        <v>55035</v>
      </c>
      <c r="AW46" s="282">
        <v>59942</v>
      </c>
      <c r="AX46" s="282">
        <v>49801</v>
      </c>
      <c r="AY46" s="282">
        <v>66010</v>
      </c>
      <c r="AZ46" s="282">
        <v>48287</v>
      </c>
      <c r="BA46" s="282">
        <v>39516</v>
      </c>
      <c r="BB46" s="142"/>
      <c r="BC46" s="142"/>
    </row>
    <row r="47" spans="1:55" s="281" customFormat="1" ht="13.5" customHeight="1" x14ac:dyDescent="0.25">
      <c r="A47" s="19" t="s">
        <v>44</v>
      </c>
      <c r="B47" s="28">
        <v>140157</v>
      </c>
      <c r="C47" s="28">
        <v>199010</v>
      </c>
      <c r="D47" s="28">
        <v>181776</v>
      </c>
      <c r="E47" s="28">
        <v>148289</v>
      </c>
      <c r="F47" s="28">
        <v>135235</v>
      </c>
      <c r="G47" s="28">
        <v>185093</v>
      </c>
      <c r="H47" s="28">
        <v>168096</v>
      </c>
      <c r="I47" s="28">
        <v>137993</v>
      </c>
      <c r="J47" s="28">
        <v>119302</v>
      </c>
      <c r="K47" s="28">
        <v>183060</v>
      </c>
      <c r="L47" s="28">
        <v>163336</v>
      </c>
      <c r="M47" s="28">
        <v>136276</v>
      </c>
      <c r="N47" s="28">
        <v>125194</v>
      </c>
      <c r="O47" s="28">
        <f>'[6]Quadro 1'!$B$83</f>
        <v>181630</v>
      </c>
      <c r="P47" s="28">
        <v>161134</v>
      </c>
      <c r="Q47" s="28">
        <v>126921</v>
      </c>
      <c r="R47" s="28">
        <v>115971</v>
      </c>
      <c r="S47" s="28">
        <v>167533</v>
      </c>
      <c r="T47" s="28">
        <v>150732</v>
      </c>
      <c r="U47" s="28">
        <v>123963</v>
      </c>
      <c r="V47" s="283">
        <v>115357</v>
      </c>
      <c r="W47" s="283">
        <v>169180</v>
      </c>
      <c r="X47" s="283">
        <v>148897</v>
      </c>
      <c r="Y47" s="283">
        <v>120457</v>
      </c>
      <c r="Z47" s="283">
        <v>111315</v>
      </c>
      <c r="AA47" s="283">
        <v>156021</v>
      </c>
      <c r="AB47" s="283">
        <v>132966</v>
      </c>
      <c r="AC47" s="283">
        <v>107906</v>
      </c>
      <c r="AD47" s="283">
        <v>99837</v>
      </c>
      <c r="AE47" s="283">
        <v>144201</v>
      </c>
      <c r="AF47" s="283">
        <v>130727</v>
      </c>
      <c r="AG47" s="283">
        <v>97657</v>
      </c>
      <c r="AH47" s="283">
        <v>102606</v>
      </c>
      <c r="AI47" s="283">
        <v>151441</v>
      </c>
      <c r="AJ47" s="283">
        <v>128388</v>
      </c>
      <c r="AK47" s="283">
        <v>108609</v>
      </c>
      <c r="AL47" s="283">
        <v>98436</v>
      </c>
      <c r="AM47" s="283">
        <v>139977</v>
      </c>
      <c r="AN47" s="283">
        <v>118479</v>
      </c>
      <c r="AO47" s="283">
        <v>99433</v>
      </c>
      <c r="AP47" s="283">
        <v>92023</v>
      </c>
      <c r="AQ47" s="283">
        <v>130044</v>
      </c>
      <c r="AR47" s="283">
        <v>109885</v>
      </c>
      <c r="AS47" s="283">
        <v>92023</v>
      </c>
      <c r="AT47" s="283">
        <v>84653</v>
      </c>
      <c r="AU47" s="283">
        <v>113407</v>
      </c>
      <c r="AV47" s="283">
        <v>101693</v>
      </c>
      <c r="AW47" s="283">
        <v>82692</v>
      </c>
      <c r="AX47" s="283">
        <v>76587</v>
      </c>
      <c r="AY47" s="283">
        <v>109288</v>
      </c>
      <c r="AZ47" s="283">
        <v>92477</v>
      </c>
      <c r="BA47" s="283">
        <v>75056</v>
      </c>
      <c r="BB47" s="142"/>
      <c r="BC47" s="142"/>
    </row>
    <row r="48" spans="1:55" s="281" customFormat="1" ht="13.5" customHeight="1" x14ac:dyDescent="0.25">
      <c r="A48" s="142" t="s">
        <v>489</v>
      </c>
      <c r="B48" s="282">
        <v>1298</v>
      </c>
      <c r="C48" s="282">
        <v>2370</v>
      </c>
      <c r="D48" s="282">
        <v>5295</v>
      </c>
      <c r="E48" s="282">
        <v>7080</v>
      </c>
      <c r="F48" s="27">
        <v>7978</v>
      </c>
      <c r="G48" s="27">
        <v>7854</v>
      </c>
      <c r="H48" s="27">
        <v>7957</v>
      </c>
      <c r="I48" s="27">
        <v>3242</v>
      </c>
      <c r="J48" s="27">
        <v>1214</v>
      </c>
      <c r="K48" s="27">
        <v>1272</v>
      </c>
      <c r="L48" s="27">
        <v>3638</v>
      </c>
      <c r="M48" s="27">
        <v>3592</v>
      </c>
      <c r="N48" s="27">
        <v>3547</v>
      </c>
      <c r="O48" s="27">
        <f>'[6]Quadro 1'!$B$85</f>
        <v>3066</v>
      </c>
      <c r="P48" s="27">
        <v>1856</v>
      </c>
      <c r="Q48" s="27">
        <v>1959</v>
      </c>
      <c r="R48" s="27">
        <v>3326</v>
      </c>
      <c r="S48" s="27">
        <v>0</v>
      </c>
      <c r="T48" s="27">
        <v>0</v>
      </c>
      <c r="U48" s="27">
        <v>0</v>
      </c>
      <c r="V48" s="282">
        <v>0</v>
      </c>
      <c r="W48" s="282">
        <v>0</v>
      </c>
      <c r="X48" s="282">
        <v>0</v>
      </c>
      <c r="Y48" s="282">
        <v>0</v>
      </c>
      <c r="Z48" s="282">
        <v>0</v>
      </c>
      <c r="AA48" s="282">
        <v>0</v>
      </c>
      <c r="AB48" s="282">
        <v>0</v>
      </c>
      <c r="AC48" s="282">
        <v>0</v>
      </c>
      <c r="AD48" s="282">
        <v>0</v>
      </c>
      <c r="AE48" s="282">
        <v>0</v>
      </c>
      <c r="AF48" s="282">
        <v>0</v>
      </c>
      <c r="AG48" s="282">
        <v>0</v>
      </c>
      <c r="AH48" s="282">
        <v>0</v>
      </c>
      <c r="AI48" s="282">
        <v>0</v>
      </c>
      <c r="AJ48" s="282">
        <v>0</v>
      </c>
      <c r="AK48" s="282"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6547</v>
      </c>
      <c r="AQ48" s="282">
        <v>13112</v>
      </c>
      <c r="AR48" s="282">
        <v>32956</v>
      </c>
      <c r="AS48" s="282">
        <v>6547</v>
      </c>
      <c r="AT48" s="282">
        <v>31851</v>
      </c>
      <c r="AU48" s="282">
        <v>37554</v>
      </c>
      <c r="AV48" s="282">
        <v>37792</v>
      </c>
      <c r="AW48" s="282">
        <v>3421</v>
      </c>
      <c r="AX48" s="282">
        <v>0</v>
      </c>
      <c r="AY48" s="282">
        <v>0</v>
      </c>
      <c r="AZ48" s="282">
        <v>0</v>
      </c>
      <c r="BA48" s="282">
        <v>0</v>
      </c>
      <c r="BB48" s="142"/>
      <c r="BC48" s="142"/>
    </row>
    <row r="49" spans="1:55" s="281" customFormat="1" ht="13.5" customHeight="1" x14ac:dyDescent="0.25">
      <c r="A49" s="19" t="s">
        <v>427</v>
      </c>
      <c r="B49" s="28">
        <v>85225</v>
      </c>
      <c r="C49" s="28">
        <v>65372</v>
      </c>
      <c r="D49" s="28">
        <v>48576</v>
      </c>
      <c r="E49" s="28">
        <v>76101</v>
      </c>
      <c r="F49" s="28">
        <v>55237</v>
      </c>
      <c r="G49" s="28">
        <v>43002</v>
      </c>
      <c r="H49" s="28">
        <v>47806</v>
      </c>
      <c r="I49" s="28">
        <v>46358</v>
      </c>
      <c r="J49" s="28">
        <v>125178</v>
      </c>
      <c r="K49" s="28">
        <v>120222</v>
      </c>
      <c r="L49" s="28">
        <v>119189</v>
      </c>
      <c r="M49" s="28">
        <v>105256</v>
      </c>
      <c r="N49" s="28">
        <v>91336</v>
      </c>
      <c r="O49" s="28">
        <f>'[6]Quadro 1'!$B$82</f>
        <v>79953</v>
      </c>
      <c r="P49" s="28">
        <v>64740</v>
      </c>
      <c r="Q49" s="28">
        <v>56210</v>
      </c>
      <c r="R49" s="28">
        <v>46024</v>
      </c>
      <c r="S49" s="28">
        <v>32384</v>
      </c>
      <c r="T49" s="28">
        <v>20186</v>
      </c>
      <c r="U49" s="28">
        <v>29274</v>
      </c>
      <c r="V49" s="283">
        <v>17448</v>
      </c>
      <c r="W49" s="283">
        <v>4433</v>
      </c>
      <c r="X49" s="283">
        <v>18201</v>
      </c>
      <c r="Y49" s="283">
        <v>11347</v>
      </c>
      <c r="Z49" s="283">
        <v>25342</v>
      </c>
      <c r="AA49" s="283">
        <v>27624</v>
      </c>
      <c r="AB49" s="283">
        <v>18218</v>
      </c>
      <c r="AC49" s="283">
        <v>27416</v>
      </c>
      <c r="AD49" s="283">
        <v>18335</v>
      </c>
      <c r="AE49" s="283">
        <v>19202</v>
      </c>
      <c r="AF49" s="283">
        <v>12421</v>
      </c>
      <c r="AG49" s="283">
        <v>4717</v>
      </c>
      <c r="AH49" s="283">
        <v>9796</v>
      </c>
      <c r="AI49" s="283">
        <v>12336</v>
      </c>
      <c r="AJ49" s="283">
        <v>2096</v>
      </c>
      <c r="AK49" s="283">
        <v>21186</v>
      </c>
      <c r="AL49" s="283">
        <v>19868</v>
      </c>
      <c r="AM49" s="283">
        <v>32944</v>
      </c>
      <c r="AN49" s="283">
        <v>27410</v>
      </c>
      <c r="AO49" s="283">
        <v>39392</v>
      </c>
      <c r="AP49" s="283">
        <v>33087</v>
      </c>
      <c r="AQ49" s="283">
        <v>35365</v>
      </c>
      <c r="AR49" s="283">
        <v>27299</v>
      </c>
      <c r="AS49" s="283">
        <v>33087</v>
      </c>
      <c r="AT49" s="283">
        <v>27968</v>
      </c>
      <c r="AU49" s="283">
        <v>36220</v>
      </c>
      <c r="AV49" s="283">
        <v>28452</v>
      </c>
      <c r="AW49" s="283">
        <v>36002</v>
      </c>
      <c r="AX49" s="283">
        <v>28317</v>
      </c>
      <c r="AY49" s="283">
        <v>36645</v>
      </c>
      <c r="AZ49" s="283">
        <v>28464</v>
      </c>
      <c r="BA49" s="283">
        <v>34876</v>
      </c>
      <c r="BB49" s="142"/>
      <c r="BC49" s="142"/>
    </row>
    <row r="50" spans="1:55" s="281" customFormat="1" ht="13.5" customHeight="1" x14ac:dyDescent="0.25">
      <c r="A50" s="142" t="s">
        <v>46</v>
      </c>
      <c r="B50" s="282">
        <v>60</v>
      </c>
      <c r="C50" s="282">
        <v>9828</v>
      </c>
      <c r="D50" s="282">
        <v>9697</v>
      </c>
      <c r="E50" s="282">
        <v>9604</v>
      </c>
      <c r="F50" s="27">
        <v>9627</v>
      </c>
      <c r="G50" s="27">
        <v>9190</v>
      </c>
      <c r="H50" s="27">
        <v>9300</v>
      </c>
      <c r="I50" s="27">
        <v>22358</v>
      </c>
      <c r="J50" s="27">
        <v>16614</v>
      </c>
      <c r="K50" s="27">
        <v>10643</v>
      </c>
      <c r="L50" s="27">
        <v>11857</v>
      </c>
      <c r="M50" s="27">
        <v>13142</v>
      </c>
      <c r="N50" s="27">
        <v>21998</v>
      </c>
      <c r="O50" s="27">
        <f>'[6]Quadro 1'!$B$86</f>
        <v>20085</v>
      </c>
      <c r="P50" s="27">
        <v>33041</v>
      </c>
      <c r="Q50" s="27">
        <v>30135</v>
      </c>
      <c r="R50" s="27">
        <v>42170</v>
      </c>
      <c r="S50" s="27">
        <v>34348</v>
      </c>
      <c r="T50" s="27">
        <v>33617</v>
      </c>
      <c r="U50" s="27">
        <v>32880</v>
      </c>
      <c r="V50" s="282">
        <v>39346</v>
      </c>
      <c r="W50" s="282">
        <v>32015</v>
      </c>
      <c r="X50" s="282">
        <v>30618</v>
      </c>
      <c r="Y50" s="282">
        <v>30300</v>
      </c>
      <c r="Z50" s="282">
        <v>36088</v>
      </c>
      <c r="AA50" s="282">
        <v>29162</v>
      </c>
      <c r="AB50" s="282">
        <v>28410</v>
      </c>
      <c r="AC50" s="282">
        <v>27911</v>
      </c>
      <c r="AD50" s="282">
        <v>33127</v>
      </c>
      <c r="AE50" s="282">
        <v>27138</v>
      </c>
      <c r="AF50" s="282">
        <v>26422</v>
      </c>
      <c r="AG50" s="282">
        <v>25358</v>
      </c>
      <c r="AH50" s="282">
        <v>31424</v>
      </c>
      <c r="AI50" s="282">
        <v>25036</v>
      </c>
      <c r="AJ50" s="282">
        <v>24181</v>
      </c>
      <c r="AK50" s="282">
        <v>23630</v>
      </c>
      <c r="AL50" s="282">
        <v>28730</v>
      </c>
      <c r="AM50" s="282">
        <v>23697</v>
      </c>
      <c r="AN50" s="282">
        <v>21806</v>
      </c>
      <c r="AO50" s="282">
        <v>21430</v>
      </c>
      <c r="AP50" s="282">
        <v>26409</v>
      </c>
      <c r="AQ50" s="282">
        <v>20619</v>
      </c>
      <c r="AR50" s="282">
        <v>20083</v>
      </c>
      <c r="AS50" s="282">
        <v>26409</v>
      </c>
      <c r="AT50" s="282">
        <v>24602</v>
      </c>
      <c r="AU50" s="282">
        <v>12893</v>
      </c>
      <c r="AV50" s="282">
        <v>18377</v>
      </c>
      <c r="AW50" s="282">
        <v>18100</v>
      </c>
      <c r="AX50" s="282">
        <v>12119</v>
      </c>
      <c r="AY50" s="282">
        <v>17968</v>
      </c>
      <c r="AZ50" s="282">
        <v>17425</v>
      </c>
      <c r="BA50" s="282">
        <v>11526</v>
      </c>
      <c r="BB50" s="142"/>
      <c r="BC50" s="142"/>
    </row>
    <row r="51" spans="1:55" s="281" customFormat="1" ht="13.5" customHeight="1" x14ac:dyDescent="0.25">
      <c r="A51" s="19" t="s">
        <v>428</v>
      </c>
      <c r="B51" s="28">
        <v>430991</v>
      </c>
      <c r="C51" s="28">
        <v>119528</v>
      </c>
      <c r="D51" s="28">
        <v>120650</v>
      </c>
      <c r="E51" s="28">
        <v>352717</v>
      </c>
      <c r="F51" s="28">
        <v>231653</v>
      </c>
      <c r="G51" s="28">
        <v>55185</v>
      </c>
      <c r="H51" s="28">
        <v>49950</v>
      </c>
      <c r="I51" s="28">
        <v>31820</v>
      </c>
      <c r="J51" s="28">
        <v>265</v>
      </c>
      <c r="K51" s="28">
        <v>156335</v>
      </c>
      <c r="L51" s="28">
        <v>51917</v>
      </c>
      <c r="M51" s="28">
        <v>132616</v>
      </c>
      <c r="N51" s="28">
        <v>72270</v>
      </c>
      <c r="O51" s="28">
        <f>'[6]Quadro 1'!$B$87</f>
        <v>59857</v>
      </c>
      <c r="P51" s="28">
        <v>41917</v>
      </c>
      <c r="Q51" s="28">
        <v>123948</v>
      </c>
      <c r="R51" s="28">
        <v>80719</v>
      </c>
      <c r="S51" s="28">
        <v>71887</v>
      </c>
      <c r="T51" s="28">
        <v>98175</v>
      </c>
      <c r="U51" s="28">
        <v>143799</v>
      </c>
      <c r="V51" s="283">
        <v>93397</v>
      </c>
      <c r="W51" s="283">
        <v>78378</v>
      </c>
      <c r="X51" s="283">
        <v>48818</v>
      </c>
      <c r="Y51" s="283">
        <v>116611</v>
      </c>
      <c r="Z51" s="283">
        <v>43748</v>
      </c>
      <c r="AA51" s="283">
        <v>55557</v>
      </c>
      <c r="AB51" s="283">
        <v>54098</v>
      </c>
      <c r="AC51" s="283">
        <v>66539</v>
      </c>
      <c r="AD51" s="283">
        <v>65406</v>
      </c>
      <c r="AE51" s="283">
        <v>79572</v>
      </c>
      <c r="AF51" s="283">
        <v>51352</v>
      </c>
      <c r="AG51" s="283">
        <v>32309</v>
      </c>
      <c r="AH51" s="283">
        <v>7590</v>
      </c>
      <c r="AI51" s="283">
        <v>7804</v>
      </c>
      <c r="AJ51" s="283">
        <v>6632</v>
      </c>
      <c r="AK51" s="283">
        <v>5574</v>
      </c>
      <c r="AL51" s="283">
        <v>2516</v>
      </c>
      <c r="AM51" s="283">
        <v>32809</v>
      </c>
      <c r="AN51" s="283">
        <v>33431</v>
      </c>
      <c r="AO51" s="283">
        <v>66391</v>
      </c>
      <c r="AP51" s="283">
        <v>31646</v>
      </c>
      <c r="AQ51" s="283">
        <v>31093</v>
      </c>
      <c r="AR51" s="283">
        <v>36423</v>
      </c>
      <c r="AS51" s="283">
        <v>31646</v>
      </c>
      <c r="AT51" s="283">
        <v>46469</v>
      </c>
      <c r="AU51" s="283">
        <v>36843</v>
      </c>
      <c r="AV51" s="283">
        <v>36118</v>
      </c>
      <c r="AW51" s="283">
        <v>64676</v>
      </c>
      <c r="AX51" s="283">
        <v>26921</v>
      </c>
      <c r="AY51" s="283">
        <v>39595</v>
      </c>
      <c r="AZ51" s="283">
        <v>41373</v>
      </c>
      <c r="BA51" s="283">
        <v>103180</v>
      </c>
      <c r="BB51" s="142"/>
      <c r="BC51" s="142"/>
    </row>
    <row r="52" spans="1:55" s="281" customFormat="1" ht="13.5" customHeight="1" x14ac:dyDescent="0.25">
      <c r="A52" s="142" t="s">
        <v>62</v>
      </c>
      <c r="B52" s="282"/>
      <c r="C52" s="282">
        <v>289</v>
      </c>
      <c r="D52" s="282">
        <v>152908</v>
      </c>
      <c r="E52" s="282">
        <v>102520</v>
      </c>
      <c r="F52" s="27">
        <v>0</v>
      </c>
      <c r="G52" s="27"/>
      <c r="H52" s="27">
        <v>58065</v>
      </c>
      <c r="I52" s="27">
        <v>0</v>
      </c>
      <c r="J52" s="27">
        <v>0</v>
      </c>
      <c r="K52" s="27">
        <v>0</v>
      </c>
      <c r="L52" s="27">
        <v>8756</v>
      </c>
      <c r="M52" s="27">
        <v>22389</v>
      </c>
      <c r="N52" s="27">
        <v>0</v>
      </c>
      <c r="O52" s="27">
        <f>'[6]Quadro 1'!$B$76</f>
        <v>18225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82">
        <v>0</v>
      </c>
      <c r="W52" s="282">
        <v>0</v>
      </c>
      <c r="X52" s="282">
        <v>0</v>
      </c>
      <c r="Y52" s="282">
        <v>0</v>
      </c>
      <c r="Z52" s="282">
        <v>0</v>
      </c>
      <c r="AA52" s="282">
        <v>0</v>
      </c>
      <c r="AB52" s="282">
        <v>0</v>
      </c>
      <c r="AC52" s="282">
        <v>0</v>
      </c>
      <c r="AD52" s="282">
        <v>0</v>
      </c>
      <c r="AE52" s="282">
        <v>0</v>
      </c>
      <c r="AF52" s="282">
        <v>0</v>
      </c>
      <c r="AG52" s="282">
        <v>0</v>
      </c>
      <c r="AH52" s="282">
        <v>0</v>
      </c>
      <c r="AI52" s="282">
        <v>0</v>
      </c>
      <c r="AJ52" s="282">
        <v>0</v>
      </c>
      <c r="AK52" s="282"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379</v>
      </c>
      <c r="AQ52" s="282">
        <v>0</v>
      </c>
      <c r="AR52" s="282">
        <v>0</v>
      </c>
      <c r="AS52" s="282">
        <v>0</v>
      </c>
      <c r="AT52" s="282">
        <v>0</v>
      </c>
      <c r="AU52" s="282">
        <v>0</v>
      </c>
      <c r="AV52" s="282">
        <v>0</v>
      </c>
      <c r="AW52" s="282">
        <v>0</v>
      </c>
      <c r="AX52" s="282">
        <v>0</v>
      </c>
      <c r="AY52" s="282">
        <v>0</v>
      </c>
      <c r="AZ52" s="282">
        <v>0</v>
      </c>
      <c r="BA52" s="282">
        <v>0</v>
      </c>
      <c r="BB52" s="142"/>
      <c r="BC52" s="142"/>
    </row>
    <row r="53" spans="1:55" s="281" customFormat="1" ht="13.5" customHeight="1" x14ac:dyDescent="0.25">
      <c r="A53" s="19" t="s">
        <v>45</v>
      </c>
      <c r="B53" s="28"/>
      <c r="C53" s="28">
        <v>0</v>
      </c>
      <c r="D53" s="28">
        <v>0</v>
      </c>
      <c r="E53" s="28">
        <v>0</v>
      </c>
      <c r="F53" s="28">
        <v>0</v>
      </c>
      <c r="G53" s="28">
        <v>6623</v>
      </c>
      <c r="H53" s="28">
        <v>6623</v>
      </c>
      <c r="I53" s="28">
        <v>6623</v>
      </c>
      <c r="J53" s="28">
        <v>6623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14289</v>
      </c>
      <c r="S53" s="28">
        <v>33905</v>
      </c>
      <c r="T53" s="28">
        <v>53491</v>
      </c>
      <c r="U53" s="28">
        <v>72510</v>
      </c>
      <c r="V53" s="283">
        <v>77966</v>
      </c>
      <c r="W53" s="283">
        <v>73976</v>
      </c>
      <c r="X53" s="283">
        <v>72882</v>
      </c>
      <c r="Y53" s="283">
        <v>71789</v>
      </c>
      <c r="Z53" s="283">
        <v>70696</v>
      </c>
      <c r="AA53" s="283">
        <v>67615</v>
      </c>
      <c r="AB53" s="283">
        <v>66553</v>
      </c>
      <c r="AC53" s="283">
        <v>65491</v>
      </c>
      <c r="AD53" s="283">
        <v>64429</v>
      </c>
      <c r="AE53" s="283">
        <v>59455</v>
      </c>
      <c r="AF53" s="283">
        <v>58458</v>
      </c>
      <c r="AG53" s="283">
        <v>57462</v>
      </c>
      <c r="AH53" s="283">
        <v>56465</v>
      </c>
      <c r="AI53" s="283">
        <v>50103</v>
      </c>
      <c r="AJ53" s="283">
        <v>49203</v>
      </c>
      <c r="AK53" s="283">
        <v>48303</v>
      </c>
      <c r="AL53" s="283">
        <v>47403</v>
      </c>
      <c r="AM53" s="283">
        <v>43681</v>
      </c>
      <c r="AN53" s="283">
        <v>42835</v>
      </c>
      <c r="AO53" s="283">
        <v>41990</v>
      </c>
      <c r="AP53" s="283">
        <v>41144</v>
      </c>
      <c r="AQ53" s="283">
        <v>38072</v>
      </c>
      <c r="AR53" s="283">
        <v>37273</v>
      </c>
      <c r="AS53" s="283">
        <v>41144</v>
      </c>
      <c r="AT53" s="283">
        <v>35676</v>
      </c>
      <c r="AU53" s="283">
        <v>32971</v>
      </c>
      <c r="AV53" s="283">
        <v>35727</v>
      </c>
      <c r="AW53" s="283">
        <v>38483</v>
      </c>
      <c r="AX53" s="283">
        <v>41239</v>
      </c>
      <c r="AY53" s="283">
        <v>42150</v>
      </c>
      <c r="AZ53" s="283">
        <v>41442</v>
      </c>
      <c r="BA53" s="283">
        <v>40733</v>
      </c>
      <c r="BB53" s="142"/>
      <c r="BC53" s="142"/>
    </row>
    <row r="54" spans="1:55" s="281" customFormat="1" ht="13.5" customHeight="1" x14ac:dyDescent="0.25">
      <c r="A54" s="142" t="s">
        <v>132</v>
      </c>
      <c r="B54" s="282"/>
      <c r="C54" s="282">
        <v>0</v>
      </c>
      <c r="D54" s="282">
        <v>0</v>
      </c>
      <c r="E54" s="282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82">
        <v>0</v>
      </c>
      <c r="W54" s="282">
        <v>0</v>
      </c>
      <c r="X54" s="282">
        <v>0</v>
      </c>
      <c r="Y54" s="282">
        <v>0</v>
      </c>
      <c r="Z54" s="282">
        <v>0</v>
      </c>
      <c r="AA54" s="282">
        <v>0</v>
      </c>
      <c r="AB54" s="282">
        <v>0</v>
      </c>
      <c r="AC54" s="282">
        <v>0</v>
      </c>
      <c r="AD54" s="282">
        <v>0</v>
      </c>
      <c r="AE54" s="282">
        <v>0</v>
      </c>
      <c r="AF54" s="282">
        <v>0</v>
      </c>
      <c r="AG54" s="282">
        <v>0</v>
      </c>
      <c r="AH54" s="282">
        <v>0</v>
      </c>
      <c r="AI54" s="282">
        <v>0</v>
      </c>
      <c r="AJ54" s="282">
        <v>0</v>
      </c>
      <c r="AK54" s="282">
        <v>0</v>
      </c>
      <c r="AL54" s="282">
        <v>6930</v>
      </c>
      <c r="AM54" s="282">
        <v>4004</v>
      </c>
      <c r="AN54" s="282">
        <v>16428</v>
      </c>
      <c r="AO54" s="282">
        <v>5958</v>
      </c>
      <c r="AP54" s="282">
        <v>10832</v>
      </c>
      <c r="AQ54" s="282">
        <v>7533</v>
      </c>
      <c r="AR54" s="282">
        <v>4949</v>
      </c>
      <c r="AS54" s="282">
        <v>10832</v>
      </c>
      <c r="AT54" s="282">
        <v>6618</v>
      </c>
      <c r="AU54" s="282">
        <v>6561</v>
      </c>
      <c r="AV54" s="282">
        <v>10926</v>
      </c>
      <c r="AW54" s="282">
        <v>17996</v>
      </c>
      <c r="AX54" s="282">
        <v>24670</v>
      </c>
      <c r="AY54" s="282">
        <v>28935</v>
      </c>
      <c r="AZ54" s="282">
        <v>27846</v>
      </c>
      <c r="BA54" s="282">
        <v>27313</v>
      </c>
      <c r="BB54" s="142"/>
      <c r="BC54" s="142"/>
    </row>
    <row r="55" spans="1:55" s="281" customFormat="1" ht="13.5" customHeight="1" x14ac:dyDescent="0.25">
      <c r="A55" s="19" t="s">
        <v>493</v>
      </c>
      <c r="B55" s="28">
        <v>74007</v>
      </c>
      <c r="C55" s="28">
        <v>107763</v>
      </c>
      <c r="D55" s="28">
        <v>152703</v>
      </c>
      <c r="E55" s="28">
        <v>71549</v>
      </c>
      <c r="F55" s="28">
        <v>84001</v>
      </c>
      <c r="G55" s="28">
        <v>102972</v>
      </c>
      <c r="H55" s="28">
        <v>79998</v>
      </c>
      <c r="I55" s="28">
        <v>85556</v>
      </c>
      <c r="J55" s="28">
        <v>375390</v>
      </c>
      <c r="K55" s="28">
        <v>418230</v>
      </c>
      <c r="L55" s="28">
        <v>141332</v>
      </c>
      <c r="M55" s="28">
        <v>114391</v>
      </c>
      <c r="N55" s="28">
        <v>102304</v>
      </c>
      <c r="O55" s="28">
        <f>'[6]Quadro 1'!$B$89</f>
        <v>91085</v>
      </c>
      <c r="P55" s="28">
        <v>90720</v>
      </c>
      <c r="Q55" s="28">
        <v>86709</v>
      </c>
      <c r="R55" s="28">
        <v>72640</v>
      </c>
      <c r="S55" s="28">
        <v>59703</v>
      </c>
      <c r="T55" s="28">
        <v>36311</v>
      </c>
      <c r="U55" s="28">
        <v>19765</v>
      </c>
      <c r="V55" s="283">
        <v>26255</v>
      </c>
      <c r="W55" s="283">
        <v>21180</v>
      </c>
      <c r="X55" s="283">
        <v>25976</v>
      </c>
      <c r="Y55" s="283">
        <v>27122</v>
      </c>
      <c r="Z55" s="283">
        <v>27580</v>
      </c>
      <c r="AA55" s="283">
        <v>27649</v>
      </c>
      <c r="AB55" s="283">
        <v>44075</v>
      </c>
      <c r="AC55" s="283">
        <v>28636</v>
      </c>
      <c r="AD55" s="283">
        <v>15507</v>
      </c>
      <c r="AE55" s="283">
        <v>32466</v>
      </c>
      <c r="AF55" s="283">
        <v>30668</v>
      </c>
      <c r="AG55" s="283">
        <v>53068</v>
      </c>
      <c r="AH55" s="283">
        <v>165822</v>
      </c>
      <c r="AI55" s="283">
        <v>27210</v>
      </c>
      <c r="AJ55" s="283">
        <v>46835</v>
      </c>
      <c r="AK55" s="283">
        <v>30818</v>
      </c>
      <c r="AL55" s="283">
        <v>29444</v>
      </c>
      <c r="AM55" s="283">
        <v>28183</v>
      </c>
      <c r="AN55" s="283">
        <v>35959</v>
      </c>
      <c r="AO55" s="283">
        <v>18921</v>
      </c>
      <c r="AP55" s="283">
        <v>12317</v>
      </c>
      <c r="AQ55" s="283">
        <v>12442</v>
      </c>
      <c r="AR55" s="283">
        <v>20948</v>
      </c>
      <c r="AS55" s="283">
        <v>12317</v>
      </c>
      <c r="AT55" s="283">
        <v>13652</v>
      </c>
      <c r="AU55" s="283">
        <v>49129</v>
      </c>
      <c r="AV55" s="283">
        <v>57745</v>
      </c>
      <c r="AW55" s="283">
        <v>45566</v>
      </c>
      <c r="AX55" s="283">
        <v>56558</v>
      </c>
      <c r="AY55" s="283">
        <v>22312</v>
      </c>
      <c r="AZ55" s="283">
        <v>33737</v>
      </c>
      <c r="BA55" s="283">
        <v>25914</v>
      </c>
      <c r="BB55" s="142"/>
      <c r="BC55" s="142"/>
    </row>
    <row r="56" spans="1:55" s="281" customFormat="1" ht="13.5" customHeight="1" x14ac:dyDescent="0.25">
      <c r="A56" s="142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142"/>
      <c r="BC56" s="142"/>
    </row>
    <row r="57" spans="1:55" s="281" customFormat="1" ht="15.75" x14ac:dyDescent="0.25">
      <c r="A57" s="147" t="s">
        <v>170</v>
      </c>
      <c r="B57" s="146">
        <f t="shared" ref="B57:AH57" si="5">SUM(B40:B55)</f>
        <v>1996283</v>
      </c>
      <c r="C57" s="146">
        <f t="shared" si="5"/>
        <v>1700591</v>
      </c>
      <c r="D57" s="146">
        <f t="shared" si="5"/>
        <v>2012793</v>
      </c>
      <c r="E57" s="146">
        <f t="shared" si="5"/>
        <v>2056889</v>
      </c>
      <c r="F57" s="146">
        <f t="shared" si="5"/>
        <v>1924251</v>
      </c>
      <c r="G57" s="146">
        <f t="shared" si="5"/>
        <v>1849344</v>
      </c>
      <c r="H57" s="146">
        <f t="shared" si="5"/>
        <v>1753688</v>
      </c>
      <c r="I57" s="146">
        <f t="shared" si="5"/>
        <v>1605760</v>
      </c>
      <c r="J57" s="146">
        <f t="shared" si="5"/>
        <v>1886439</v>
      </c>
      <c r="K57" s="146">
        <f t="shared" si="5"/>
        <v>2006493</v>
      </c>
      <c r="L57" s="146">
        <f t="shared" si="5"/>
        <v>1560190</v>
      </c>
      <c r="M57" s="146">
        <f t="shared" si="5"/>
        <v>1697291</v>
      </c>
      <c r="N57" s="146">
        <f t="shared" si="5"/>
        <v>1378860</v>
      </c>
      <c r="O57" s="146">
        <f t="shared" si="5"/>
        <v>1467598</v>
      </c>
      <c r="P57" s="146">
        <f t="shared" si="5"/>
        <v>1215552</v>
      </c>
      <c r="Q57" s="146">
        <f t="shared" si="5"/>
        <v>1146523</v>
      </c>
      <c r="R57" s="146">
        <f t="shared" si="5"/>
        <v>1110250</v>
      </c>
      <c r="S57" s="146">
        <f t="shared" si="5"/>
        <v>1157651</v>
      </c>
      <c r="T57" s="146">
        <f t="shared" si="5"/>
        <v>1163810</v>
      </c>
      <c r="U57" s="146">
        <f t="shared" si="5"/>
        <v>1298574</v>
      </c>
      <c r="V57" s="146">
        <f t="shared" si="5"/>
        <v>1328583</v>
      </c>
      <c r="W57" s="146">
        <f t="shared" si="5"/>
        <v>1319236</v>
      </c>
      <c r="X57" s="146">
        <f t="shared" si="5"/>
        <v>1401729</v>
      </c>
      <c r="Y57" s="146">
        <f t="shared" si="5"/>
        <v>1287437</v>
      </c>
      <c r="Z57" s="146">
        <f t="shared" si="5"/>
        <v>1246970</v>
      </c>
      <c r="AA57" s="146">
        <f t="shared" si="5"/>
        <v>1286051</v>
      </c>
      <c r="AB57" s="146">
        <f t="shared" si="5"/>
        <v>1214945</v>
      </c>
      <c r="AC57" s="146">
        <f t="shared" si="5"/>
        <v>1178973</v>
      </c>
      <c r="AD57" s="146">
        <f t="shared" si="5"/>
        <v>1124297</v>
      </c>
      <c r="AE57" s="146">
        <f t="shared" si="5"/>
        <v>1052951</v>
      </c>
      <c r="AF57" s="146">
        <f t="shared" si="5"/>
        <v>1010390</v>
      </c>
      <c r="AG57" s="146">
        <f t="shared" si="5"/>
        <v>989291</v>
      </c>
      <c r="AH57" s="146">
        <f t="shared" si="5"/>
        <v>1078486</v>
      </c>
      <c r="AI57" s="146">
        <f t="shared" ref="AI57:BA57" si="6">SUM(AI40:AI55)</f>
        <v>1101856</v>
      </c>
      <c r="AJ57" s="146">
        <f t="shared" si="6"/>
        <v>1068109</v>
      </c>
      <c r="AK57" s="146">
        <f t="shared" si="6"/>
        <v>1001875</v>
      </c>
      <c r="AL57" s="146">
        <f t="shared" si="6"/>
        <v>1005981</v>
      </c>
      <c r="AM57" s="146">
        <f t="shared" si="6"/>
        <v>933960</v>
      </c>
      <c r="AN57" s="146">
        <f t="shared" si="6"/>
        <v>938786</v>
      </c>
      <c r="AO57" s="146">
        <f t="shared" si="6"/>
        <v>941789</v>
      </c>
      <c r="AP57" s="146">
        <f t="shared" si="6"/>
        <v>914633</v>
      </c>
      <c r="AQ57" s="146">
        <f t="shared" si="6"/>
        <v>984961</v>
      </c>
      <c r="AR57" s="146">
        <f t="shared" si="6"/>
        <v>964473</v>
      </c>
      <c r="AS57" s="146">
        <f t="shared" si="6"/>
        <v>914633</v>
      </c>
      <c r="AT57" s="146">
        <f t="shared" si="6"/>
        <v>839184</v>
      </c>
      <c r="AU57" s="146">
        <f t="shared" si="6"/>
        <v>864218</v>
      </c>
      <c r="AV57" s="146">
        <f t="shared" si="6"/>
        <v>1013659</v>
      </c>
      <c r="AW57" s="146">
        <f t="shared" si="6"/>
        <v>1050518</v>
      </c>
      <c r="AX57" s="146">
        <f t="shared" si="6"/>
        <v>967962</v>
      </c>
      <c r="AY57" s="146">
        <f t="shared" si="6"/>
        <v>1001385</v>
      </c>
      <c r="AZ57" s="146">
        <f t="shared" si="6"/>
        <v>792619</v>
      </c>
      <c r="BA57" s="146">
        <f t="shared" si="6"/>
        <v>747509</v>
      </c>
      <c r="BB57" s="142"/>
      <c r="BC57" s="142"/>
    </row>
    <row r="58" spans="1:55" s="142" customFormat="1" ht="15.75" x14ac:dyDescent="0.25">
      <c r="A58" s="10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pans="1:55" s="281" customFormat="1" ht="15.75" x14ac:dyDescent="0.25">
      <c r="A59" s="148" t="s">
        <v>171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2"/>
      <c r="BC59" s="142"/>
    </row>
    <row r="60" spans="1:55" s="281" customFormat="1" ht="15" x14ac:dyDescent="0.25">
      <c r="A60" s="108"/>
      <c r="B60" s="282"/>
      <c r="C60" s="282"/>
      <c r="D60" s="282"/>
      <c r="E60" s="28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142"/>
      <c r="BC60" s="142"/>
    </row>
    <row r="61" spans="1:55" s="281" customFormat="1" ht="13.5" customHeight="1" x14ac:dyDescent="0.25">
      <c r="A61" s="142" t="s">
        <v>42</v>
      </c>
      <c r="B61" s="282">
        <v>1315102</v>
      </c>
      <c r="C61" s="282">
        <v>1062706</v>
      </c>
      <c r="D61" s="282">
        <v>1023294</v>
      </c>
      <c r="E61" s="282">
        <v>1014973</v>
      </c>
      <c r="F61" s="27">
        <v>826609</v>
      </c>
      <c r="G61" s="27">
        <v>826899</v>
      </c>
      <c r="H61" s="27">
        <v>796933</v>
      </c>
      <c r="I61" s="27">
        <v>837666</v>
      </c>
      <c r="J61" s="27">
        <v>878079</v>
      </c>
      <c r="K61" s="27">
        <v>901900</v>
      </c>
      <c r="L61" s="27">
        <v>913961</v>
      </c>
      <c r="M61" s="27">
        <v>905300</v>
      </c>
      <c r="N61" s="27">
        <v>1072146</v>
      </c>
      <c r="O61" s="27">
        <f>'[6]Quadro 1'!$B$96</f>
        <v>1150055</v>
      </c>
      <c r="P61" s="27">
        <v>1147999</v>
      </c>
      <c r="Q61" s="27">
        <v>1155242</v>
      </c>
      <c r="R61" s="27">
        <v>1110936</v>
      </c>
      <c r="S61" s="27">
        <v>1157191</v>
      </c>
      <c r="T61" s="27">
        <v>1159346</v>
      </c>
      <c r="U61" s="27">
        <v>1201588</v>
      </c>
      <c r="V61" s="282">
        <v>1224441</v>
      </c>
      <c r="W61" s="282">
        <v>1275586</v>
      </c>
      <c r="X61" s="282">
        <v>1264631</v>
      </c>
      <c r="Y61" s="282">
        <v>1235749</v>
      </c>
      <c r="Z61" s="282">
        <v>1241502</v>
      </c>
      <c r="AA61" s="282">
        <v>1244946</v>
      </c>
      <c r="AB61" s="282">
        <v>1245974</v>
      </c>
      <c r="AC61" s="282">
        <v>1240845</v>
      </c>
      <c r="AD61" s="282">
        <v>1252992</v>
      </c>
      <c r="AE61" s="282">
        <v>1281490</v>
      </c>
      <c r="AF61" s="282">
        <v>1269521</v>
      </c>
      <c r="AG61" s="282">
        <v>1313466</v>
      </c>
      <c r="AH61" s="282">
        <v>1338238</v>
      </c>
      <c r="AI61" s="282">
        <v>1371265</v>
      </c>
      <c r="AJ61" s="282">
        <v>1286639</v>
      </c>
      <c r="AK61" s="282">
        <v>1324578</v>
      </c>
      <c r="AL61" s="282">
        <v>1263636</v>
      </c>
      <c r="AM61" s="282">
        <v>1167913</v>
      </c>
      <c r="AN61" s="282">
        <v>1141900</v>
      </c>
      <c r="AO61" s="282">
        <v>1222292</v>
      </c>
      <c r="AP61" s="282">
        <v>1192469</v>
      </c>
      <c r="AQ61" s="282">
        <v>1170209</v>
      </c>
      <c r="AR61" s="282">
        <v>1163983</v>
      </c>
      <c r="AS61" s="282">
        <v>1192469</v>
      </c>
      <c r="AT61" s="282">
        <v>1152892</v>
      </c>
      <c r="AU61" s="282">
        <v>1178101</v>
      </c>
      <c r="AV61" s="282">
        <v>1203966</v>
      </c>
      <c r="AW61" s="282">
        <v>1222341</v>
      </c>
      <c r="AX61" s="282">
        <v>1248370</v>
      </c>
      <c r="AY61" s="282">
        <v>1237765</v>
      </c>
      <c r="AZ61" s="282">
        <v>1247172</v>
      </c>
      <c r="BA61" s="282">
        <v>1174792</v>
      </c>
      <c r="BB61" s="142"/>
      <c r="BC61" s="142"/>
    </row>
    <row r="62" spans="1:55" s="281" customFormat="1" ht="13.5" customHeight="1" x14ac:dyDescent="0.25">
      <c r="A62" s="19" t="s">
        <v>43</v>
      </c>
      <c r="B62" s="28">
        <v>2746756</v>
      </c>
      <c r="C62" s="28">
        <v>2849331</v>
      </c>
      <c r="D62" s="28">
        <v>2112496</v>
      </c>
      <c r="E62" s="28">
        <v>2220948</v>
      </c>
      <c r="F62" s="28">
        <v>2372440</v>
      </c>
      <c r="G62" s="28">
        <v>1716834</v>
      </c>
      <c r="H62" s="28">
        <v>2015471</v>
      </c>
      <c r="I62" s="28">
        <v>2069195</v>
      </c>
      <c r="J62" s="28">
        <v>2307128</v>
      </c>
      <c r="K62" s="28">
        <v>2358244</v>
      </c>
      <c r="L62" s="28">
        <v>1859647</v>
      </c>
      <c r="M62" s="28">
        <v>1878426</v>
      </c>
      <c r="N62" s="28">
        <v>2113239</v>
      </c>
      <c r="O62" s="28">
        <f>'[6]Quadro 1'!$B$97</f>
        <v>1606270</v>
      </c>
      <c r="P62" s="28">
        <v>1814016</v>
      </c>
      <c r="Q62" s="28">
        <v>1800122</v>
      </c>
      <c r="R62" s="28">
        <v>1814362</v>
      </c>
      <c r="S62" s="28">
        <v>1825941</v>
      </c>
      <c r="T62" s="28">
        <v>1888707</v>
      </c>
      <c r="U62" s="28">
        <v>1684148</v>
      </c>
      <c r="V62" s="283">
        <v>1701895</v>
      </c>
      <c r="W62" s="283">
        <v>1629627</v>
      </c>
      <c r="X62" s="283">
        <v>1216592</v>
      </c>
      <c r="Y62" s="283">
        <v>1434046</v>
      </c>
      <c r="Z62" s="283">
        <v>1296305</v>
      </c>
      <c r="AA62" s="283">
        <v>1354038</v>
      </c>
      <c r="AB62" s="283">
        <v>1456424</v>
      </c>
      <c r="AC62" s="283">
        <v>1543417</v>
      </c>
      <c r="AD62" s="283">
        <v>1665533</v>
      </c>
      <c r="AE62" s="283">
        <v>1722439</v>
      </c>
      <c r="AF62" s="283">
        <v>1664889</v>
      </c>
      <c r="AG62" s="283">
        <v>1716370</v>
      </c>
      <c r="AH62" s="283">
        <v>1762265</v>
      </c>
      <c r="AI62" s="283">
        <v>1727546</v>
      </c>
      <c r="AJ62" s="283">
        <v>1462927</v>
      </c>
      <c r="AK62" s="283">
        <v>1480088</v>
      </c>
      <c r="AL62" s="283">
        <v>1563261</v>
      </c>
      <c r="AM62" s="283">
        <v>1563866</v>
      </c>
      <c r="AN62" s="283">
        <v>1640333</v>
      </c>
      <c r="AO62" s="283">
        <v>1410230</v>
      </c>
      <c r="AP62" s="283">
        <v>1492272</v>
      </c>
      <c r="AQ62" s="283">
        <v>1380391</v>
      </c>
      <c r="AR62" s="283">
        <v>1460932</v>
      </c>
      <c r="AS62" s="283">
        <v>1492272</v>
      </c>
      <c r="AT62" s="283">
        <v>1543481</v>
      </c>
      <c r="AU62" s="283">
        <v>1498027</v>
      </c>
      <c r="AV62" s="283">
        <v>1343309</v>
      </c>
      <c r="AW62" s="283">
        <v>1428804</v>
      </c>
      <c r="AX62" s="283">
        <v>1017907</v>
      </c>
      <c r="AY62" s="283">
        <v>678626</v>
      </c>
      <c r="AZ62" s="283">
        <v>657672</v>
      </c>
      <c r="BA62" s="283">
        <v>707710</v>
      </c>
      <c r="BB62" s="142"/>
      <c r="BC62" s="142"/>
    </row>
    <row r="63" spans="1:55" s="281" customFormat="1" ht="13.5" customHeight="1" x14ac:dyDescent="0.25">
      <c r="A63" s="142" t="s">
        <v>425</v>
      </c>
      <c r="B63" s="282">
        <v>44710</v>
      </c>
      <c r="C63" s="282">
        <v>56750</v>
      </c>
      <c r="D63" s="282">
        <v>66542</v>
      </c>
      <c r="E63" s="282">
        <v>75025</v>
      </c>
      <c r="F63" s="27">
        <v>70797</v>
      </c>
      <c r="G63" s="27">
        <v>73898</v>
      </c>
      <c r="H63" s="27">
        <v>67615</v>
      </c>
      <c r="I63" s="27">
        <v>68593</v>
      </c>
      <c r="J63" s="27">
        <v>49331</v>
      </c>
      <c r="K63" s="27">
        <v>51209</v>
      </c>
      <c r="L63" s="27">
        <v>51501</v>
      </c>
      <c r="M63" s="27">
        <v>55620</v>
      </c>
      <c r="N63" s="27">
        <v>31512</v>
      </c>
      <c r="O63" s="27">
        <f>'[6]Quadro 1'!$B$98</f>
        <v>14786</v>
      </c>
      <c r="P63" s="27">
        <v>16818</v>
      </c>
      <c r="Q63" s="27">
        <v>19440</v>
      </c>
      <c r="R63" s="27">
        <v>21106</v>
      </c>
      <c r="S63" s="27">
        <v>24176</v>
      </c>
      <c r="T63" s="27">
        <v>27192</v>
      </c>
      <c r="U63" s="27">
        <v>28892</v>
      </c>
      <c r="V63" s="282">
        <v>0</v>
      </c>
      <c r="W63" s="282">
        <v>0</v>
      </c>
      <c r="X63" s="282">
        <v>0</v>
      </c>
      <c r="Y63" s="282">
        <v>0</v>
      </c>
      <c r="Z63" s="282">
        <v>0</v>
      </c>
      <c r="AA63" s="282">
        <v>0</v>
      </c>
      <c r="AB63" s="282">
        <v>0</v>
      </c>
      <c r="AC63" s="282">
        <v>0</v>
      </c>
      <c r="AD63" s="282">
        <v>0</v>
      </c>
      <c r="AE63" s="282">
        <v>0</v>
      </c>
      <c r="AF63" s="282">
        <v>0</v>
      </c>
      <c r="AG63" s="282">
        <v>0</v>
      </c>
      <c r="AH63" s="282">
        <v>0</v>
      </c>
      <c r="AI63" s="282">
        <v>0</v>
      </c>
      <c r="AJ63" s="282">
        <v>0</v>
      </c>
      <c r="AK63" s="282">
        <v>0</v>
      </c>
      <c r="AL63" s="282">
        <v>0</v>
      </c>
      <c r="AM63" s="282">
        <v>0</v>
      </c>
      <c r="AN63" s="282">
        <v>0</v>
      </c>
      <c r="AO63" s="282">
        <v>0</v>
      </c>
      <c r="AP63" s="282">
        <v>0</v>
      </c>
      <c r="AQ63" s="282">
        <v>0</v>
      </c>
      <c r="AR63" s="282">
        <v>0</v>
      </c>
      <c r="AS63" s="282">
        <v>0</v>
      </c>
      <c r="AT63" s="282">
        <v>0</v>
      </c>
      <c r="AU63" s="282">
        <v>0</v>
      </c>
      <c r="AV63" s="282">
        <v>0</v>
      </c>
      <c r="AW63" s="282">
        <v>0</v>
      </c>
      <c r="AX63" s="282">
        <v>0</v>
      </c>
      <c r="AY63" s="282">
        <v>0</v>
      </c>
      <c r="AZ63" s="282">
        <v>0</v>
      </c>
      <c r="BA63" s="282">
        <v>0</v>
      </c>
      <c r="BB63" s="142"/>
      <c r="BC63" s="142"/>
    </row>
    <row r="64" spans="1:55" s="281" customFormat="1" ht="13.5" customHeight="1" x14ac:dyDescent="0.25">
      <c r="A64" s="142" t="s">
        <v>432</v>
      </c>
      <c r="B64" s="282">
        <v>166148</v>
      </c>
      <c r="C64" s="282">
        <v>173370</v>
      </c>
      <c r="D64" s="282">
        <v>180593</v>
      </c>
      <c r="E64" s="282">
        <v>202773</v>
      </c>
      <c r="F64" s="27">
        <v>206811</v>
      </c>
      <c r="G64" s="27">
        <v>209375</v>
      </c>
      <c r="H64" s="27">
        <v>211940</v>
      </c>
      <c r="I64" s="27">
        <v>201384</v>
      </c>
      <c r="J64" s="27">
        <v>208654</v>
      </c>
      <c r="K64" s="27">
        <v>217881</v>
      </c>
      <c r="L64" s="27">
        <v>227106</v>
      </c>
      <c r="M64" s="27">
        <v>236332</v>
      </c>
      <c r="N64" s="27">
        <v>258251</v>
      </c>
      <c r="O64" s="27">
        <f>'[6]Quadro 1'!$B$99</f>
        <v>265903</v>
      </c>
      <c r="P64" s="27">
        <v>273554</v>
      </c>
      <c r="Q64" s="27">
        <v>290997</v>
      </c>
      <c r="R64" s="27">
        <v>297434</v>
      </c>
      <c r="S64" s="27">
        <v>308493</v>
      </c>
      <c r="T64" s="27">
        <v>319552</v>
      </c>
      <c r="U64" s="27">
        <v>336374</v>
      </c>
      <c r="V64" s="282">
        <v>350487</v>
      </c>
      <c r="W64" s="282">
        <v>363165</v>
      </c>
      <c r="X64" s="282">
        <v>374257</v>
      </c>
      <c r="Y64" s="282">
        <v>381736</v>
      </c>
      <c r="Z64" s="282">
        <v>392217</v>
      </c>
      <c r="AA64" s="282">
        <v>404369</v>
      </c>
      <c r="AB64" s="282">
        <v>401806</v>
      </c>
      <c r="AC64" s="282">
        <v>423724</v>
      </c>
      <c r="AD64" s="282">
        <v>441563</v>
      </c>
      <c r="AE64" s="282">
        <v>563642</v>
      </c>
      <c r="AF64" s="282">
        <v>563381</v>
      </c>
      <c r="AG64" s="282">
        <v>561141</v>
      </c>
      <c r="AH64" s="282">
        <v>643795</v>
      </c>
      <c r="AI64" s="282">
        <v>530286</v>
      </c>
      <c r="AJ64" s="282">
        <v>481572</v>
      </c>
      <c r="AK64" s="282">
        <v>368902</v>
      </c>
      <c r="AL64" s="282">
        <v>279885</v>
      </c>
      <c r="AM64" s="282">
        <v>163877</v>
      </c>
      <c r="AN64" s="282">
        <v>0</v>
      </c>
      <c r="AO64" s="282">
        <v>0</v>
      </c>
      <c r="AP64" s="282">
        <v>0</v>
      </c>
      <c r="AQ64" s="282">
        <v>0</v>
      </c>
      <c r="AR64" s="282">
        <v>0</v>
      </c>
      <c r="AS64" s="282">
        <v>0</v>
      </c>
      <c r="AT64" s="282">
        <v>0</v>
      </c>
      <c r="AU64" s="282">
        <v>0</v>
      </c>
      <c r="AV64" s="282">
        <v>0</v>
      </c>
      <c r="AW64" s="282">
        <v>0</v>
      </c>
      <c r="AX64" s="282">
        <v>0</v>
      </c>
      <c r="AY64" s="282">
        <v>0</v>
      </c>
      <c r="AZ64" s="282">
        <v>0</v>
      </c>
      <c r="BA64" s="282">
        <v>0</v>
      </c>
      <c r="BB64" s="142"/>
      <c r="BC64" s="142"/>
    </row>
    <row r="65" spans="1:55" s="281" customFormat="1" ht="13.5" customHeight="1" x14ac:dyDescent="0.25">
      <c r="A65" s="284" t="s">
        <v>431</v>
      </c>
      <c r="B65" s="283">
        <v>125764</v>
      </c>
      <c r="C65" s="283">
        <v>134857</v>
      </c>
      <c r="D65" s="283">
        <v>382904</v>
      </c>
      <c r="E65" s="283">
        <v>401638</v>
      </c>
      <c r="F65" s="283">
        <v>396748</v>
      </c>
      <c r="G65" s="283">
        <v>386498</v>
      </c>
      <c r="H65" s="283">
        <v>369331</v>
      </c>
      <c r="I65" s="283">
        <v>365739</v>
      </c>
      <c r="J65" s="283">
        <v>377363</v>
      </c>
      <c r="K65" s="283">
        <v>152279</v>
      </c>
      <c r="L65" s="283">
        <v>156732</v>
      </c>
      <c r="M65" s="283">
        <v>147843</v>
      </c>
      <c r="N65" s="283">
        <v>134002</v>
      </c>
      <c r="O65" s="283">
        <f>'[6]Quadro 1'!$B$100</f>
        <v>150883</v>
      </c>
      <c r="P65" s="283">
        <v>187511</v>
      </c>
      <c r="Q65" s="283">
        <v>194269</v>
      </c>
      <c r="R65" s="283">
        <v>192448</v>
      </c>
      <c r="S65" s="283">
        <v>186243</v>
      </c>
      <c r="T65" s="283">
        <v>171973</v>
      </c>
      <c r="U65" s="283">
        <v>133190</v>
      </c>
      <c r="V65" s="283">
        <v>130010</v>
      </c>
      <c r="W65" s="283">
        <v>132277</v>
      </c>
      <c r="X65" s="283">
        <v>129804</v>
      </c>
      <c r="Y65" s="283">
        <v>124346</v>
      </c>
      <c r="Z65" s="283">
        <v>134305</v>
      </c>
      <c r="AA65" s="283">
        <v>146093</v>
      </c>
      <c r="AB65" s="283">
        <v>158972</v>
      </c>
      <c r="AC65" s="283">
        <v>177400</v>
      </c>
      <c r="AD65" s="283">
        <v>185339</v>
      </c>
      <c r="AE65" s="283">
        <v>151989</v>
      </c>
      <c r="AF65" s="283">
        <v>116702</v>
      </c>
      <c r="AG65" s="283">
        <v>98800</v>
      </c>
      <c r="AH65" s="283">
        <v>96846</v>
      </c>
      <c r="AI65" s="283">
        <v>98957</v>
      </c>
      <c r="AJ65" s="283">
        <v>130426</v>
      </c>
      <c r="AK65" s="283">
        <v>124630</v>
      </c>
      <c r="AL65" s="283">
        <v>113758</v>
      </c>
      <c r="AM65" s="283">
        <v>90484</v>
      </c>
      <c r="AN65" s="283">
        <v>90685</v>
      </c>
      <c r="AO65" s="283">
        <v>83374</v>
      </c>
      <c r="AP65" s="283">
        <v>76474</v>
      </c>
      <c r="AQ65" s="283">
        <v>78047</v>
      </c>
      <c r="AR65" s="283">
        <v>76867</v>
      </c>
      <c r="AS65" s="283">
        <v>76474</v>
      </c>
      <c r="AT65" s="283">
        <v>63932</v>
      </c>
      <c r="AU65" s="283">
        <v>51333</v>
      </c>
      <c r="AV65" s="283">
        <v>49379</v>
      </c>
      <c r="AW65" s="283">
        <v>58356</v>
      </c>
      <c r="AX65" s="283">
        <v>43956</v>
      </c>
      <c r="AY65" s="283">
        <v>39873</v>
      </c>
      <c r="AZ65" s="283">
        <v>38306</v>
      </c>
      <c r="BA65" s="283">
        <v>31955</v>
      </c>
      <c r="BB65" s="142"/>
      <c r="BC65" s="142"/>
    </row>
    <row r="66" spans="1:55" s="281" customFormat="1" ht="13.5" customHeight="1" x14ac:dyDescent="0.25">
      <c r="A66" s="142" t="s">
        <v>46</v>
      </c>
      <c r="B66" s="282">
        <v>109577</v>
      </c>
      <c r="C66" s="282">
        <v>34370</v>
      </c>
      <c r="D66" s="282">
        <v>32714</v>
      </c>
      <c r="E66" s="282">
        <v>31059</v>
      </c>
      <c r="F66" s="27">
        <v>44296</v>
      </c>
      <c r="G66" s="27">
        <v>113426</v>
      </c>
      <c r="H66" s="27">
        <v>108739</v>
      </c>
      <c r="I66" s="27">
        <v>104051</v>
      </c>
      <c r="J66" s="27">
        <v>112764</v>
      </c>
      <c r="K66" s="27">
        <v>235205</v>
      </c>
      <c r="L66" s="27">
        <v>231384</v>
      </c>
      <c r="M66" s="27">
        <v>227604</v>
      </c>
      <c r="N66" s="27">
        <v>223892</v>
      </c>
      <c r="O66" s="27">
        <f>'[6]Quadro 1'!$B$102</f>
        <v>138940</v>
      </c>
      <c r="P66" s="27">
        <v>137821</v>
      </c>
      <c r="Q66" s="27">
        <v>136671</v>
      </c>
      <c r="R66" s="27">
        <v>136007</v>
      </c>
      <c r="S66" s="27">
        <v>91808</v>
      </c>
      <c r="T66" s="27">
        <v>96268</v>
      </c>
      <c r="U66" s="27">
        <v>101007</v>
      </c>
      <c r="V66" s="282">
        <v>105483</v>
      </c>
      <c r="W66" s="282">
        <v>66667</v>
      </c>
      <c r="X66" s="282">
        <v>71376</v>
      </c>
      <c r="Y66" s="282">
        <v>75741</v>
      </c>
      <c r="Z66" s="282">
        <v>80083</v>
      </c>
      <c r="AA66" s="282">
        <v>117821</v>
      </c>
      <c r="AB66" s="282">
        <v>115192</v>
      </c>
      <c r="AC66" s="282">
        <v>112732</v>
      </c>
      <c r="AD66" s="282">
        <v>110300</v>
      </c>
      <c r="AE66" s="282">
        <v>103890</v>
      </c>
      <c r="AF66" s="282">
        <v>104096</v>
      </c>
      <c r="AG66" s="282">
        <v>104381</v>
      </c>
      <c r="AH66" s="282">
        <v>104895</v>
      </c>
      <c r="AI66" s="282">
        <v>129458</v>
      </c>
      <c r="AJ66" s="282">
        <v>126695</v>
      </c>
      <c r="AK66" s="282">
        <v>123543</v>
      </c>
      <c r="AL66" s="282">
        <v>121582</v>
      </c>
      <c r="AM66" s="282">
        <v>109131</v>
      </c>
      <c r="AN66" s="282">
        <v>107895</v>
      </c>
      <c r="AO66" s="282">
        <v>106884</v>
      </c>
      <c r="AP66" s="282">
        <v>106010</v>
      </c>
      <c r="AQ66" s="282">
        <v>276240</v>
      </c>
      <c r="AR66" s="282">
        <v>259882</v>
      </c>
      <c r="AS66" s="282">
        <v>106010</v>
      </c>
      <c r="AT66" s="282">
        <v>142493</v>
      </c>
      <c r="AU66" s="282">
        <v>142288</v>
      </c>
      <c r="AV66" s="282">
        <v>144886</v>
      </c>
      <c r="AW66" s="282">
        <v>143140</v>
      </c>
      <c r="AX66" s="282">
        <v>145235</v>
      </c>
      <c r="AY66" s="282">
        <v>138445</v>
      </c>
      <c r="AZ66" s="282">
        <v>143322</v>
      </c>
      <c r="BA66" s="282">
        <v>145850</v>
      </c>
      <c r="BB66" s="142"/>
      <c r="BC66" s="142"/>
    </row>
    <row r="67" spans="1:55" s="281" customFormat="1" ht="13.5" customHeight="1" x14ac:dyDescent="0.25">
      <c r="A67" s="19" t="s">
        <v>45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3">
        <v>12994</v>
      </c>
      <c r="W67" s="283">
        <v>30823</v>
      </c>
      <c r="X67" s="283">
        <v>48588</v>
      </c>
      <c r="Y67" s="283">
        <v>65807</v>
      </c>
      <c r="Z67" s="283">
        <v>82478</v>
      </c>
      <c r="AA67" s="283">
        <v>95788</v>
      </c>
      <c r="AB67" s="283">
        <v>110921</v>
      </c>
      <c r="AC67" s="283">
        <v>125524</v>
      </c>
      <c r="AD67" s="283">
        <v>139595</v>
      </c>
      <c r="AE67" s="283">
        <v>143682</v>
      </c>
      <c r="AF67" s="283">
        <v>155888</v>
      </c>
      <c r="AG67" s="283">
        <v>167597</v>
      </c>
      <c r="AH67" s="283">
        <v>178807</v>
      </c>
      <c r="AI67" s="283">
        <v>171184</v>
      </c>
      <c r="AJ67" s="283">
        <v>180410</v>
      </c>
      <c r="AK67" s="283">
        <v>189185</v>
      </c>
      <c r="AL67" s="283">
        <v>197511</v>
      </c>
      <c r="AM67" s="283">
        <v>192924</v>
      </c>
      <c r="AN67" s="283">
        <v>199898</v>
      </c>
      <c r="AO67" s="283">
        <v>206450</v>
      </c>
      <c r="AP67" s="283">
        <v>212580</v>
      </c>
      <c r="AQ67" s="283">
        <v>206222</v>
      </c>
      <c r="AR67" s="283">
        <v>211214</v>
      </c>
      <c r="AS67" s="283">
        <v>212580</v>
      </c>
      <c r="AT67" s="283">
        <v>220000</v>
      </c>
      <c r="AU67" s="283">
        <v>211566</v>
      </c>
      <c r="AV67" s="283">
        <v>214775</v>
      </c>
      <c r="AW67" s="283">
        <v>217606</v>
      </c>
      <c r="AX67" s="283">
        <v>220060</v>
      </c>
      <c r="AY67" s="283">
        <v>208462</v>
      </c>
      <c r="AZ67" s="283">
        <v>213567</v>
      </c>
      <c r="BA67" s="283">
        <v>218318</v>
      </c>
      <c r="BB67" s="142"/>
      <c r="BC67" s="142"/>
    </row>
    <row r="68" spans="1:55" s="281" customFormat="1" ht="13.5" customHeight="1" x14ac:dyDescent="0.25">
      <c r="A68" s="142" t="s">
        <v>169</v>
      </c>
      <c r="B68" s="282">
        <v>0</v>
      </c>
      <c r="C68" s="282">
        <v>0</v>
      </c>
      <c r="D68" s="282">
        <v>0</v>
      </c>
      <c r="E68" s="282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/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82">
        <v>0</v>
      </c>
      <c r="W68" s="282">
        <v>0</v>
      </c>
      <c r="X68" s="282">
        <v>0</v>
      </c>
      <c r="Y68" s="282">
        <v>0</v>
      </c>
      <c r="Z68" s="282">
        <v>0</v>
      </c>
      <c r="AA68" s="282">
        <v>0</v>
      </c>
      <c r="AB68" s="282">
        <v>0</v>
      </c>
      <c r="AC68" s="282">
        <v>0</v>
      </c>
      <c r="AD68" s="282">
        <v>0</v>
      </c>
      <c r="AE68" s="282">
        <v>0</v>
      </c>
      <c r="AF68" s="282">
        <v>0</v>
      </c>
      <c r="AG68" s="282">
        <v>0</v>
      </c>
      <c r="AH68" s="282">
        <v>0</v>
      </c>
      <c r="AI68" s="282">
        <v>0</v>
      </c>
      <c r="AJ68" s="282">
        <v>0</v>
      </c>
      <c r="AK68" s="282">
        <v>0</v>
      </c>
      <c r="AL68" s="282">
        <v>0</v>
      </c>
      <c r="AM68" s="282">
        <v>0.5</v>
      </c>
      <c r="AN68" s="282">
        <v>0</v>
      </c>
      <c r="AO68" s="282">
        <v>0</v>
      </c>
      <c r="AP68" s="282">
        <v>0</v>
      </c>
      <c r="AQ68" s="282">
        <v>16456</v>
      </c>
      <c r="AR68" s="282">
        <v>16456</v>
      </c>
      <c r="AS68" s="282">
        <v>0</v>
      </c>
      <c r="AT68" s="282">
        <v>16456</v>
      </c>
      <c r="AU68" s="282">
        <v>27328</v>
      </c>
      <c r="AV68" s="282">
        <v>16456</v>
      </c>
      <c r="AW68" s="282">
        <v>27064</v>
      </c>
      <c r="AX68" s="282">
        <v>44619</v>
      </c>
      <c r="AY68" s="282">
        <v>44189</v>
      </c>
      <c r="AZ68" s="282">
        <v>43709</v>
      </c>
      <c r="BA68" s="282">
        <v>43269</v>
      </c>
      <c r="BB68" s="142"/>
      <c r="BC68" s="142"/>
    </row>
    <row r="69" spans="1:55" s="281" customFormat="1" ht="13.5" customHeight="1" x14ac:dyDescent="0.25">
      <c r="A69" s="19" t="s">
        <v>172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v>0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41</v>
      </c>
      <c r="AG69" s="283">
        <v>19177</v>
      </c>
      <c r="AH69" s="283">
        <v>18302</v>
      </c>
      <c r="AI69" s="283">
        <v>17086</v>
      </c>
      <c r="AJ69" s="283">
        <v>16397</v>
      </c>
      <c r="AK69" s="283">
        <v>14052</v>
      </c>
      <c r="AL69" s="283">
        <v>13171</v>
      </c>
      <c r="AM69" s="283">
        <v>14251</v>
      </c>
      <c r="AN69" s="283">
        <v>12898</v>
      </c>
      <c r="AO69" s="283">
        <v>88847</v>
      </c>
      <c r="AP69" s="283">
        <v>86346</v>
      </c>
      <c r="AQ69" s="283">
        <v>90921</v>
      </c>
      <c r="AR69" s="283">
        <v>87823</v>
      </c>
      <c r="AS69" s="283">
        <v>86346</v>
      </c>
      <c r="AT69" s="283">
        <v>0</v>
      </c>
      <c r="AU69" s="283">
        <v>0</v>
      </c>
      <c r="AV69" s="283">
        <v>51567</v>
      </c>
      <c r="AW69" s="283">
        <v>0</v>
      </c>
      <c r="AX69" s="283">
        <v>0</v>
      </c>
      <c r="AY69" s="283">
        <v>0</v>
      </c>
      <c r="AZ69" s="283">
        <v>0</v>
      </c>
      <c r="BA69" s="283">
        <v>0</v>
      </c>
      <c r="BB69" s="142"/>
      <c r="BC69" s="142"/>
    </row>
    <row r="70" spans="1:55" s="281" customFormat="1" ht="13.5" customHeight="1" x14ac:dyDescent="0.25">
      <c r="A70" s="142" t="s">
        <v>173</v>
      </c>
      <c r="B70" s="282">
        <v>0</v>
      </c>
      <c r="C70" s="282">
        <v>0</v>
      </c>
      <c r="D70" s="282">
        <v>0</v>
      </c>
      <c r="E70" s="282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82">
        <v>0</v>
      </c>
      <c r="W70" s="282">
        <v>0</v>
      </c>
      <c r="X70" s="282">
        <v>0</v>
      </c>
      <c r="Y70" s="282">
        <v>0</v>
      </c>
      <c r="Z70" s="282">
        <v>0</v>
      </c>
      <c r="AA70" s="282">
        <v>0</v>
      </c>
      <c r="AB70" s="282">
        <v>0</v>
      </c>
      <c r="AC70" s="282">
        <v>0</v>
      </c>
      <c r="AD70" s="282">
        <v>0</v>
      </c>
      <c r="AE70" s="282">
        <v>0</v>
      </c>
      <c r="AF70" s="282">
        <v>0</v>
      </c>
      <c r="AG70" s="282">
        <v>0</v>
      </c>
      <c r="AH70" s="282">
        <v>0</v>
      </c>
      <c r="AI70" s="282">
        <v>0</v>
      </c>
      <c r="AJ70" s="282">
        <v>0</v>
      </c>
      <c r="AK70" s="282">
        <v>0</v>
      </c>
      <c r="AL70" s="282">
        <v>0</v>
      </c>
      <c r="AM70" s="282">
        <v>0</v>
      </c>
      <c r="AN70" s="282">
        <v>0</v>
      </c>
      <c r="AO70" s="282">
        <v>0</v>
      </c>
      <c r="AP70" s="282">
        <v>0</v>
      </c>
      <c r="AQ70" s="282">
        <v>0</v>
      </c>
      <c r="AR70" s="282">
        <v>0</v>
      </c>
      <c r="AS70" s="282">
        <v>0</v>
      </c>
      <c r="AT70" s="282">
        <v>0</v>
      </c>
      <c r="AU70" s="282">
        <v>0</v>
      </c>
      <c r="AV70" s="282">
        <v>0</v>
      </c>
      <c r="AW70" s="282">
        <v>0</v>
      </c>
      <c r="AX70" s="282">
        <v>0</v>
      </c>
      <c r="AY70" s="282">
        <v>0</v>
      </c>
      <c r="AZ70" s="282">
        <v>0</v>
      </c>
      <c r="BA70" s="282">
        <v>0</v>
      </c>
      <c r="BB70" s="142"/>
      <c r="BC70" s="142"/>
    </row>
    <row r="71" spans="1:55" s="281" customFormat="1" ht="13.5" customHeight="1" x14ac:dyDescent="0.25">
      <c r="A71" s="19" t="s">
        <v>132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3">
        <v>0</v>
      </c>
      <c r="W71" s="283">
        <v>0</v>
      </c>
      <c r="X71" s="283">
        <v>0</v>
      </c>
      <c r="Y71" s="283">
        <v>0</v>
      </c>
      <c r="Z71" s="283">
        <v>0</v>
      </c>
      <c r="AA71" s="283">
        <v>0</v>
      </c>
      <c r="AB71" s="283">
        <v>0</v>
      </c>
      <c r="AC71" s="283">
        <v>0</v>
      </c>
      <c r="AD71" s="283">
        <v>0</v>
      </c>
      <c r="AE71" s="283">
        <v>0</v>
      </c>
      <c r="AF71" s="283">
        <v>0</v>
      </c>
      <c r="AG71" s="283">
        <v>0</v>
      </c>
      <c r="AH71" s="283">
        <v>0</v>
      </c>
      <c r="AI71" s="283">
        <v>0</v>
      </c>
      <c r="AJ71" s="283">
        <v>0</v>
      </c>
      <c r="AK71" s="283">
        <v>0</v>
      </c>
      <c r="AL71" s="283">
        <v>0</v>
      </c>
      <c r="AM71" s="283">
        <v>0</v>
      </c>
      <c r="AN71" s="283">
        <v>0</v>
      </c>
      <c r="AO71" s="283">
        <v>0</v>
      </c>
      <c r="AP71" s="283">
        <v>0</v>
      </c>
      <c r="AQ71" s="283">
        <v>0</v>
      </c>
      <c r="AR71" s="283">
        <v>0</v>
      </c>
      <c r="AS71" s="283">
        <v>0</v>
      </c>
      <c r="AT71" s="283">
        <v>0</v>
      </c>
      <c r="AU71" s="283">
        <v>0</v>
      </c>
      <c r="AV71" s="283">
        <v>0</v>
      </c>
      <c r="AW71" s="283">
        <v>0</v>
      </c>
      <c r="AX71" s="283">
        <v>0</v>
      </c>
      <c r="AY71" s="283">
        <v>0</v>
      </c>
      <c r="AZ71" s="283">
        <v>6101</v>
      </c>
      <c r="BA71" s="283">
        <v>11935</v>
      </c>
      <c r="BB71" s="142"/>
      <c r="BC71" s="142"/>
    </row>
    <row r="72" spans="1:55" s="281" customFormat="1" ht="13.5" customHeight="1" x14ac:dyDescent="0.25">
      <c r="A72" s="142" t="s">
        <v>433</v>
      </c>
      <c r="B72" s="282">
        <v>0</v>
      </c>
      <c r="C72" s="282">
        <v>0</v>
      </c>
      <c r="D72" s="282">
        <v>1868</v>
      </c>
      <c r="E72" s="282">
        <v>0</v>
      </c>
      <c r="F72" s="27">
        <v>0</v>
      </c>
      <c r="G72" s="27">
        <v>0</v>
      </c>
      <c r="H72" s="27">
        <v>0</v>
      </c>
      <c r="I72" s="27">
        <v>4861</v>
      </c>
      <c r="J72" s="27">
        <v>1977</v>
      </c>
      <c r="K72" s="27">
        <v>1977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3168</v>
      </c>
      <c r="S72" s="27"/>
      <c r="T72" s="27"/>
      <c r="U72" s="27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142"/>
      <c r="BC72" s="142"/>
    </row>
    <row r="73" spans="1:55" s="281" customFormat="1" ht="13.5" customHeight="1" x14ac:dyDescent="0.25">
      <c r="A73" s="19" t="s">
        <v>493</v>
      </c>
      <c r="B73" s="28">
        <v>95826</v>
      </c>
      <c r="C73" s="28">
        <v>98213</v>
      </c>
      <c r="D73" s="28">
        <v>104229</v>
      </c>
      <c r="E73" s="28">
        <v>77832</v>
      </c>
      <c r="F73" s="28">
        <v>79514</v>
      </c>
      <c r="G73" s="28">
        <v>87424</v>
      </c>
      <c r="H73" s="28">
        <v>131339</v>
      </c>
      <c r="I73" s="28">
        <v>153569</v>
      </c>
      <c r="J73" s="28">
        <v>115099</v>
      </c>
      <c r="K73" s="28">
        <v>126733</v>
      </c>
      <c r="L73" s="28">
        <v>86532</v>
      </c>
      <c r="M73" s="28">
        <v>87304</v>
      </c>
      <c r="N73" s="28">
        <v>94040</v>
      </c>
      <c r="O73" s="28">
        <f>'[6]Quadro 1'!$B$105</f>
        <v>88511</v>
      </c>
      <c r="P73" s="28">
        <v>92575</v>
      </c>
      <c r="Q73" s="28">
        <v>92182</v>
      </c>
      <c r="R73" s="28">
        <v>91345</v>
      </c>
      <c r="S73" s="28">
        <v>88121</v>
      </c>
      <c r="T73" s="28">
        <v>87186</v>
      </c>
      <c r="U73" s="28">
        <v>86611</v>
      </c>
      <c r="V73" s="283">
        <v>85436</v>
      </c>
      <c r="W73" s="283">
        <v>86083</v>
      </c>
      <c r="X73" s="283">
        <v>84878</v>
      </c>
      <c r="Y73" s="283">
        <v>84066</v>
      </c>
      <c r="Z73" s="283">
        <v>82890</v>
      </c>
      <c r="AA73" s="283">
        <v>81735</v>
      </c>
      <c r="AB73" s="283">
        <v>80902</v>
      </c>
      <c r="AC73" s="283">
        <v>77838</v>
      </c>
      <c r="AD73" s="283">
        <v>80808</v>
      </c>
      <c r="AE73" s="283">
        <v>71627</v>
      </c>
      <c r="AF73" s="283">
        <v>70673</v>
      </c>
      <c r="AG73" s="283">
        <v>70483</v>
      </c>
      <c r="AH73" s="283">
        <v>69684</v>
      </c>
      <c r="AI73" s="283">
        <v>68250</v>
      </c>
      <c r="AJ73" s="283">
        <v>66549</v>
      </c>
      <c r="AK73" s="283">
        <v>71745</v>
      </c>
      <c r="AL73" s="283">
        <v>59292</v>
      </c>
      <c r="AM73" s="283">
        <v>41108</v>
      </c>
      <c r="AN73" s="283">
        <v>40145</v>
      </c>
      <c r="AO73" s="283">
        <v>39241</v>
      </c>
      <c r="AP73" s="283">
        <v>38158</v>
      </c>
      <c r="AQ73" s="283">
        <v>29994</v>
      </c>
      <c r="AR73" s="283">
        <v>29428</v>
      </c>
      <c r="AS73" s="283">
        <v>38158</v>
      </c>
      <c r="AT73" s="283">
        <v>50708</v>
      </c>
      <c r="AU73" s="283">
        <v>90258</v>
      </c>
      <c r="AV73" s="283">
        <v>35919</v>
      </c>
      <c r="AW73" s="283">
        <v>86059</v>
      </c>
      <c r="AX73" s="283">
        <v>84415</v>
      </c>
      <c r="AY73" s="283">
        <v>76738</v>
      </c>
      <c r="AZ73" s="283">
        <v>73829</v>
      </c>
      <c r="BA73" s="283">
        <v>80352</v>
      </c>
      <c r="BB73" s="142"/>
      <c r="BC73" s="142"/>
    </row>
    <row r="74" spans="1:55" s="281" customFormat="1" ht="15" x14ac:dyDescent="0.25">
      <c r="A74" s="285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142"/>
      <c r="BC74" s="142"/>
    </row>
    <row r="75" spans="1:55" s="281" customFormat="1" ht="15.75" x14ac:dyDescent="0.25">
      <c r="A75" s="148" t="s">
        <v>174</v>
      </c>
      <c r="B75" s="146">
        <f t="shared" ref="B75:D75" si="7">SUM(B61:B73)</f>
        <v>4603883</v>
      </c>
      <c r="C75" s="146">
        <f t="shared" si="7"/>
        <v>4409597</v>
      </c>
      <c r="D75" s="146">
        <f t="shared" si="7"/>
        <v>3904640</v>
      </c>
      <c r="E75" s="146">
        <f>SUM(E61:E73)</f>
        <v>4024248</v>
      </c>
      <c r="F75" s="146">
        <f>SUM(F61:F73)</f>
        <v>3997215</v>
      </c>
      <c r="G75" s="146">
        <f>SUM(G61:G73)</f>
        <v>3414354</v>
      </c>
      <c r="H75" s="146">
        <f>SUM(H61:H73)</f>
        <v>3701368</v>
      </c>
      <c r="I75" s="146">
        <f t="shared" ref="I75:BA75" si="8">SUM(I61:I74)</f>
        <v>3805058</v>
      </c>
      <c r="J75" s="146">
        <f t="shared" si="8"/>
        <v>4050395</v>
      </c>
      <c r="K75" s="146">
        <f t="shared" si="8"/>
        <v>4045428</v>
      </c>
      <c r="L75" s="146">
        <f t="shared" si="8"/>
        <v>3526863</v>
      </c>
      <c r="M75" s="146">
        <f t="shared" si="8"/>
        <v>3538429</v>
      </c>
      <c r="N75" s="146">
        <f t="shared" si="8"/>
        <v>3927082</v>
      </c>
      <c r="O75" s="146">
        <f t="shared" si="8"/>
        <v>3415348</v>
      </c>
      <c r="P75" s="146">
        <f t="shared" si="8"/>
        <v>3670294</v>
      </c>
      <c r="Q75" s="146">
        <f t="shared" si="8"/>
        <v>3688923</v>
      </c>
      <c r="R75" s="146">
        <f t="shared" si="8"/>
        <v>3666806</v>
      </c>
      <c r="S75" s="146">
        <f t="shared" si="8"/>
        <v>3681973</v>
      </c>
      <c r="T75" s="146">
        <f t="shared" si="8"/>
        <v>3750224</v>
      </c>
      <c r="U75" s="146">
        <f t="shared" si="8"/>
        <v>3571810</v>
      </c>
      <c r="V75" s="146">
        <f t="shared" si="8"/>
        <v>3610746</v>
      </c>
      <c r="W75" s="146">
        <f t="shared" si="8"/>
        <v>3584228</v>
      </c>
      <c r="X75" s="146">
        <f t="shared" si="8"/>
        <v>3190126</v>
      </c>
      <c r="Y75" s="146">
        <f t="shared" si="8"/>
        <v>3401491</v>
      </c>
      <c r="Z75" s="146">
        <f t="shared" si="8"/>
        <v>3309780</v>
      </c>
      <c r="AA75" s="146">
        <f t="shared" si="8"/>
        <v>3444790</v>
      </c>
      <c r="AB75" s="146">
        <f t="shared" si="8"/>
        <v>3570191</v>
      </c>
      <c r="AC75" s="146">
        <f t="shared" si="8"/>
        <v>3701480</v>
      </c>
      <c r="AD75" s="146">
        <f t="shared" si="8"/>
        <v>3876130</v>
      </c>
      <c r="AE75" s="146">
        <f t="shared" si="8"/>
        <v>4038759</v>
      </c>
      <c r="AF75" s="146">
        <f t="shared" si="8"/>
        <v>3945191</v>
      </c>
      <c r="AG75" s="146">
        <f t="shared" si="8"/>
        <v>4051415</v>
      </c>
      <c r="AH75" s="146">
        <f t="shared" si="8"/>
        <v>4212832</v>
      </c>
      <c r="AI75" s="146">
        <f t="shared" si="8"/>
        <v>4114032</v>
      </c>
      <c r="AJ75" s="146">
        <f t="shared" si="8"/>
        <v>3751615</v>
      </c>
      <c r="AK75" s="146">
        <f t="shared" si="8"/>
        <v>3696723</v>
      </c>
      <c r="AL75" s="146">
        <f t="shared" si="8"/>
        <v>3612096</v>
      </c>
      <c r="AM75" s="146">
        <f t="shared" si="8"/>
        <v>3343554.5</v>
      </c>
      <c r="AN75" s="146">
        <f t="shared" si="8"/>
        <v>3233754</v>
      </c>
      <c r="AO75" s="146">
        <f t="shared" si="8"/>
        <v>3157318</v>
      </c>
      <c r="AP75" s="146">
        <f t="shared" si="8"/>
        <v>3204309</v>
      </c>
      <c r="AQ75" s="146">
        <f t="shared" si="8"/>
        <v>3248480</v>
      </c>
      <c r="AR75" s="146">
        <f t="shared" si="8"/>
        <v>3306585</v>
      </c>
      <c r="AS75" s="146">
        <f t="shared" si="8"/>
        <v>3204309</v>
      </c>
      <c r="AT75" s="146">
        <f t="shared" si="8"/>
        <v>3189962</v>
      </c>
      <c r="AU75" s="146">
        <f t="shared" si="8"/>
        <v>3198901</v>
      </c>
      <c r="AV75" s="146">
        <f t="shared" si="8"/>
        <v>3060257</v>
      </c>
      <c r="AW75" s="146">
        <f t="shared" si="8"/>
        <v>3183370</v>
      </c>
      <c r="AX75" s="146">
        <f t="shared" si="8"/>
        <v>2804562</v>
      </c>
      <c r="AY75" s="146">
        <f t="shared" si="8"/>
        <v>2424098</v>
      </c>
      <c r="AZ75" s="146">
        <f t="shared" si="8"/>
        <v>2423678</v>
      </c>
      <c r="BA75" s="146">
        <f t="shared" si="8"/>
        <v>2414181</v>
      </c>
      <c r="BB75" s="142"/>
      <c r="BC75" s="142"/>
    </row>
    <row r="76" spans="1:55" s="281" customFormat="1" ht="15.75" x14ac:dyDescent="0.25">
      <c r="A76" s="148" t="s">
        <v>175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2"/>
      <c r="BC76" s="142"/>
    </row>
    <row r="77" spans="1:55" s="281" customFormat="1" ht="13.5" customHeight="1" x14ac:dyDescent="0.25">
      <c r="A77" s="19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142"/>
      <c r="BC77" s="142"/>
    </row>
    <row r="78" spans="1:55" s="281" customFormat="1" ht="13.5" customHeight="1" x14ac:dyDescent="0.25">
      <c r="A78" s="142" t="s">
        <v>47</v>
      </c>
      <c r="B78" s="282">
        <v>3402385</v>
      </c>
      <c r="C78" s="282">
        <v>3402385</v>
      </c>
      <c r="D78" s="282">
        <v>3402385</v>
      </c>
      <c r="E78" s="282">
        <v>3402385</v>
      </c>
      <c r="F78" s="27">
        <v>3402385</v>
      </c>
      <c r="G78" s="27">
        <v>3402385</v>
      </c>
      <c r="H78" s="27">
        <v>3402385</v>
      </c>
      <c r="I78" s="27">
        <v>3402385</v>
      </c>
      <c r="J78" s="27">
        <v>3402385</v>
      </c>
      <c r="K78" s="27">
        <v>3402385</v>
      </c>
      <c r="L78" s="27">
        <v>3402385</v>
      </c>
      <c r="M78" s="27">
        <v>3402385</v>
      </c>
      <c r="N78" s="27">
        <f>'[7]BANCO DE DADOS'!$B$638</f>
        <v>3402385</v>
      </c>
      <c r="O78" s="27">
        <f>'[6]Quadro 1'!$B$111</f>
        <v>3402385</v>
      </c>
      <c r="P78" s="27">
        <v>3402385</v>
      </c>
      <c r="Q78" s="27">
        <v>3402385</v>
      </c>
      <c r="R78" s="27">
        <v>3402385</v>
      </c>
      <c r="S78" s="27">
        <v>3402385</v>
      </c>
      <c r="T78" s="27">
        <v>3402385</v>
      </c>
      <c r="U78" s="27">
        <v>3402385</v>
      </c>
      <c r="V78" s="282">
        <v>3402385</v>
      </c>
      <c r="W78" s="282">
        <v>3402385</v>
      </c>
      <c r="X78" s="282">
        <v>3402385</v>
      </c>
      <c r="Y78" s="282">
        <v>3402385</v>
      </c>
      <c r="Z78" s="282">
        <v>3402385</v>
      </c>
      <c r="AA78" s="282">
        <v>3402385</v>
      </c>
      <c r="AB78" s="282">
        <v>3402385</v>
      </c>
      <c r="AC78" s="282">
        <v>3402385</v>
      </c>
      <c r="AD78" s="282">
        <v>3402385</v>
      </c>
      <c r="AE78" s="282">
        <v>3402385</v>
      </c>
      <c r="AF78" s="282">
        <v>2773985</v>
      </c>
      <c r="AG78" s="282">
        <v>2773985</v>
      </c>
      <c r="AH78" s="282">
        <v>2773985</v>
      </c>
      <c r="AI78" s="282">
        <v>2773985</v>
      </c>
      <c r="AJ78" s="282">
        <v>2773985</v>
      </c>
      <c r="AK78" s="282">
        <v>2773985</v>
      </c>
      <c r="AL78" s="282">
        <v>2773985</v>
      </c>
      <c r="AM78" s="282">
        <v>2773985</v>
      </c>
      <c r="AN78" s="282">
        <v>2773985</v>
      </c>
      <c r="AO78" s="282">
        <v>2773986</v>
      </c>
      <c r="AP78" s="282">
        <v>2773985</v>
      </c>
      <c r="AQ78" s="282">
        <v>2773985</v>
      </c>
      <c r="AR78" s="282">
        <v>2773985</v>
      </c>
      <c r="AS78" s="282">
        <v>2773985</v>
      </c>
      <c r="AT78" s="282">
        <v>2773985</v>
      </c>
      <c r="AU78" s="282">
        <v>2773984</v>
      </c>
      <c r="AV78" s="282">
        <v>2636499</v>
      </c>
      <c r="AW78" s="282">
        <v>2636499</v>
      </c>
      <c r="AX78" s="282">
        <v>2636499</v>
      </c>
      <c r="AY78" s="282">
        <v>2636460</v>
      </c>
      <c r="AZ78" s="282">
        <v>2636460</v>
      </c>
      <c r="BA78" s="282">
        <v>2636460</v>
      </c>
      <c r="BB78" s="142"/>
      <c r="BC78" s="142"/>
    </row>
    <row r="79" spans="1:55" s="281" customFormat="1" ht="13.5" customHeight="1" x14ac:dyDescent="0.25">
      <c r="A79" s="19" t="s">
        <v>48</v>
      </c>
      <c r="B79" s="28">
        <v>-8576</v>
      </c>
      <c r="C79" s="28">
        <v>-8576</v>
      </c>
      <c r="D79" s="28">
        <v>-8576</v>
      </c>
      <c r="E79" s="28">
        <v>-8576</v>
      </c>
      <c r="F79" s="28">
        <v>-8576</v>
      </c>
      <c r="G79" s="28">
        <v>-8576</v>
      </c>
      <c r="H79" s="28">
        <v>-8576</v>
      </c>
      <c r="I79" s="28">
        <v>-8576</v>
      </c>
      <c r="J79" s="28">
        <v>-8576</v>
      </c>
      <c r="K79" s="28">
        <v>-8576</v>
      </c>
      <c r="L79" s="28">
        <v>-8576</v>
      </c>
      <c r="M79" s="28">
        <v>-8576</v>
      </c>
      <c r="N79" s="28">
        <f>'[7]BANCO DE DADOS'!$B$639</f>
        <v>-8576</v>
      </c>
      <c r="O79" s="28">
        <f>'[6]Quadro 1'!$B$112</f>
        <v>-8576</v>
      </c>
      <c r="P79" s="28">
        <v>-8576</v>
      </c>
      <c r="Q79" s="28">
        <v>-8576</v>
      </c>
      <c r="R79" s="28">
        <v>-8576</v>
      </c>
      <c r="S79" s="28">
        <v>-8576</v>
      </c>
      <c r="T79" s="28">
        <v>-8576</v>
      </c>
      <c r="U79" s="28">
        <v>-8576</v>
      </c>
      <c r="V79" s="283">
        <v>-8576</v>
      </c>
      <c r="W79" s="283">
        <v>-8576</v>
      </c>
      <c r="X79" s="283">
        <v>-8576</v>
      </c>
      <c r="Y79" s="283">
        <v>-8576</v>
      </c>
      <c r="Z79" s="283">
        <v>-8576</v>
      </c>
      <c r="AA79" s="283">
        <v>-8576</v>
      </c>
      <c r="AB79" s="283">
        <v>-8576</v>
      </c>
      <c r="AC79" s="283">
        <v>-8576</v>
      </c>
      <c r="AD79" s="283">
        <v>-8576</v>
      </c>
      <c r="AE79" s="283">
        <v>-8576</v>
      </c>
      <c r="AF79" s="283">
        <v>-8576</v>
      </c>
      <c r="AG79" s="283">
        <v>-8576</v>
      </c>
      <c r="AH79" s="283">
        <v>-8576</v>
      </c>
      <c r="AI79" s="283">
        <v>-8576</v>
      </c>
      <c r="AJ79" s="283">
        <v>-8576</v>
      </c>
      <c r="AK79" s="283">
        <v>-8576</v>
      </c>
      <c r="AL79" s="283">
        <v>-8576</v>
      </c>
      <c r="AM79" s="283">
        <v>-8576</v>
      </c>
      <c r="AN79" s="283">
        <v>-8576</v>
      </c>
      <c r="AO79" s="283">
        <v>-8576</v>
      </c>
      <c r="AP79" s="283">
        <v>-8576</v>
      </c>
      <c r="AQ79" s="283">
        <v>-8576</v>
      </c>
      <c r="AR79" s="283">
        <v>-8576</v>
      </c>
      <c r="AS79" s="283">
        <v>-8576</v>
      </c>
      <c r="AT79" s="283">
        <v>-8576</v>
      </c>
      <c r="AU79" s="283">
        <v>-8576</v>
      </c>
      <c r="AV79" s="283">
        <v>-9190</v>
      </c>
      <c r="AW79" s="283">
        <v>-9190</v>
      </c>
      <c r="AX79" s="283">
        <v>-9190</v>
      </c>
      <c r="AY79" s="283">
        <v>-9190</v>
      </c>
      <c r="AZ79" s="283">
        <v>-9190</v>
      </c>
      <c r="BA79" s="283">
        <v>-9190</v>
      </c>
      <c r="BB79" s="142"/>
      <c r="BC79" s="142"/>
    </row>
    <row r="80" spans="1:55" s="281" customFormat="1" ht="13.5" customHeight="1" x14ac:dyDescent="0.25">
      <c r="A80" s="142" t="s">
        <v>176</v>
      </c>
      <c r="B80" s="282">
        <v>0</v>
      </c>
      <c r="C80" s="282">
        <v>0</v>
      </c>
      <c r="D80" s="282">
        <v>0</v>
      </c>
      <c r="E80" s="282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82">
        <v>0</v>
      </c>
      <c r="W80" s="282">
        <v>0</v>
      </c>
      <c r="X80" s="282">
        <v>0</v>
      </c>
      <c r="Y80" s="282">
        <v>0</v>
      </c>
      <c r="Z80" s="282">
        <v>0</v>
      </c>
      <c r="AA80" s="282">
        <v>0</v>
      </c>
      <c r="AB80" s="282">
        <v>0</v>
      </c>
      <c r="AC80" s="282">
        <v>0</v>
      </c>
      <c r="AD80" s="282">
        <v>0</v>
      </c>
      <c r="AE80" s="282">
        <v>0</v>
      </c>
      <c r="AF80" s="282">
        <v>0</v>
      </c>
      <c r="AG80" s="282">
        <v>0</v>
      </c>
      <c r="AH80" s="282">
        <v>0</v>
      </c>
      <c r="AI80" s="282">
        <v>0</v>
      </c>
      <c r="AJ80" s="282">
        <v>0</v>
      </c>
      <c r="AK80" s="282">
        <v>0</v>
      </c>
      <c r="AL80" s="282">
        <v>0</v>
      </c>
      <c r="AM80" s="282">
        <v>0</v>
      </c>
      <c r="AN80" s="282">
        <v>0</v>
      </c>
      <c r="AO80" s="282">
        <v>0</v>
      </c>
      <c r="AP80" s="282">
        <v>0</v>
      </c>
      <c r="AQ80" s="282">
        <v>0</v>
      </c>
      <c r="AR80" s="282">
        <v>0</v>
      </c>
      <c r="AS80" s="282">
        <v>0</v>
      </c>
      <c r="AT80" s="282">
        <v>0</v>
      </c>
      <c r="AU80" s="282">
        <v>0</v>
      </c>
      <c r="AV80" s="282">
        <v>137485</v>
      </c>
      <c r="AW80" s="282">
        <v>3782</v>
      </c>
      <c r="AX80" s="282">
        <v>3782</v>
      </c>
      <c r="AY80" s="282">
        <v>3782</v>
      </c>
      <c r="AZ80" s="282">
        <v>3782</v>
      </c>
      <c r="BA80" s="282">
        <v>3782</v>
      </c>
      <c r="BB80" s="142"/>
      <c r="BC80" s="142"/>
    </row>
    <row r="81" spans="1:55" s="281" customFormat="1" ht="13.5" customHeight="1" x14ac:dyDescent="0.25">
      <c r="A81" s="142" t="s">
        <v>429</v>
      </c>
      <c r="B81" s="282">
        <v>4225721</v>
      </c>
      <c r="C81" s="282">
        <v>3856600</v>
      </c>
      <c r="D81" s="282">
        <v>3856580</v>
      </c>
      <c r="E81" s="282">
        <v>3856580</v>
      </c>
      <c r="F81" s="27">
        <v>3856580</v>
      </c>
      <c r="G81" s="27">
        <v>3404279</v>
      </c>
      <c r="H81" s="27">
        <v>3402583</v>
      </c>
      <c r="I81" s="27">
        <v>3402583</v>
      </c>
      <c r="J81" s="27">
        <v>3402583</v>
      </c>
      <c r="K81" s="27">
        <v>3147591</v>
      </c>
      <c r="L81" s="27">
        <v>3147591</v>
      </c>
      <c r="M81" s="27">
        <v>3147591</v>
      </c>
      <c r="N81" s="27">
        <f>'[7]BANCO DE DADOS'!$B$640</f>
        <v>3147591</v>
      </c>
      <c r="O81" s="27">
        <f>'[6]Quadro 1'!$B$113</f>
        <v>3378939</v>
      </c>
      <c r="P81" s="27">
        <v>3378939</v>
      </c>
      <c r="Q81" s="27">
        <v>3378939</v>
      </c>
      <c r="R81" s="27">
        <v>3378939</v>
      </c>
      <c r="S81" s="27">
        <v>2834829</v>
      </c>
      <c r="T81" s="27">
        <v>2834829</v>
      </c>
      <c r="U81" s="27">
        <v>2834829</v>
      </c>
      <c r="V81" s="282">
        <v>2834829</v>
      </c>
      <c r="W81" s="282">
        <v>2535704</v>
      </c>
      <c r="X81" s="282">
        <v>2535704</v>
      </c>
      <c r="Y81" s="282">
        <v>2815704</v>
      </c>
      <c r="Z81" s="282">
        <v>2815704</v>
      </c>
      <c r="AA81" s="282">
        <v>2528663</v>
      </c>
      <c r="AB81" s="282">
        <v>2528663</v>
      </c>
      <c r="AC81" s="282">
        <v>2528663</v>
      </c>
      <c r="AD81" s="282">
        <v>2528663</v>
      </c>
      <c r="AE81" s="282">
        <v>2210880</v>
      </c>
      <c r="AF81" s="282">
        <v>2710880</v>
      </c>
      <c r="AG81" s="282">
        <v>2710880</v>
      </c>
      <c r="AH81" s="282">
        <v>2710880</v>
      </c>
      <c r="AI81" s="282">
        <v>2726965</v>
      </c>
      <c r="AJ81" s="282">
        <v>2726965</v>
      </c>
      <c r="AK81" s="282">
        <v>2726965</v>
      </c>
      <c r="AL81" s="282">
        <v>2726965</v>
      </c>
      <c r="AM81" s="282">
        <v>2508330</v>
      </c>
      <c r="AN81" s="282">
        <v>2508330</v>
      </c>
      <c r="AO81" s="282">
        <v>2508330</v>
      </c>
      <c r="AP81" s="282">
        <v>2508330</v>
      </c>
      <c r="AQ81" s="282">
        <v>2198133</v>
      </c>
      <c r="AR81" s="282">
        <v>2198133</v>
      </c>
      <c r="AS81" s="282">
        <v>2508330</v>
      </c>
      <c r="AT81" s="282">
        <v>2198133</v>
      </c>
      <c r="AU81" s="282">
        <v>1870586</v>
      </c>
      <c r="AV81" s="282">
        <v>1870586</v>
      </c>
      <c r="AW81" s="282">
        <v>1870586</v>
      </c>
      <c r="AX81" s="282">
        <v>1870586</v>
      </c>
      <c r="AY81" s="282">
        <v>1553276</v>
      </c>
      <c r="AZ81" s="282">
        <v>1553276</v>
      </c>
      <c r="BA81" s="282">
        <v>1553276</v>
      </c>
      <c r="BB81" s="142"/>
      <c r="BC81" s="142"/>
    </row>
    <row r="82" spans="1:55" s="281" customFormat="1" ht="13.5" customHeight="1" x14ac:dyDescent="0.25">
      <c r="A82" s="284" t="s">
        <v>430</v>
      </c>
      <c r="B82" s="283">
        <v>-45705</v>
      </c>
      <c r="C82" s="283">
        <v>4104</v>
      </c>
      <c r="D82" s="283">
        <v>4110</v>
      </c>
      <c r="E82" s="283">
        <v>4118</v>
      </c>
      <c r="F82" s="283">
        <v>4125</v>
      </c>
      <c r="G82" s="283">
        <v>-36469</v>
      </c>
      <c r="H82" s="283">
        <v>-36458</v>
      </c>
      <c r="I82" s="283">
        <v>-36446</v>
      </c>
      <c r="J82" s="283">
        <v>-36434</v>
      </c>
      <c r="K82" s="283">
        <v>-78035</v>
      </c>
      <c r="L82" s="283">
        <v>-78014</v>
      </c>
      <c r="M82" s="283">
        <v>-84814</v>
      </c>
      <c r="N82" s="283">
        <f>'[7]BANCO DE DADOS'!$B$641</f>
        <v>-84788</v>
      </c>
      <c r="O82" s="283">
        <f>'[6]Quadro 1'!$B$114</f>
        <v>-22462</v>
      </c>
      <c r="P82" s="283">
        <v>-22412</v>
      </c>
      <c r="Q82" s="283">
        <v>-29118</v>
      </c>
      <c r="R82" s="283">
        <v>-29035</v>
      </c>
      <c r="S82" s="283">
        <v>7321</v>
      </c>
      <c r="T82" s="283">
        <v>7402</v>
      </c>
      <c r="U82" s="283">
        <v>-2094</v>
      </c>
      <c r="V82" s="283">
        <v>-2005</v>
      </c>
      <c r="W82" s="283">
        <v>38399</v>
      </c>
      <c r="X82" s="283">
        <v>38751</v>
      </c>
      <c r="Y82" s="283">
        <v>34458</v>
      </c>
      <c r="Z82" s="283">
        <v>34830</v>
      </c>
      <c r="AA82" s="283">
        <v>13783</v>
      </c>
      <c r="AB82" s="283">
        <v>18152</v>
      </c>
      <c r="AC82" s="283">
        <v>12754</v>
      </c>
      <c r="AD82" s="283">
        <v>17215</v>
      </c>
      <c r="AE82" s="283">
        <v>39172</v>
      </c>
      <c r="AF82" s="283">
        <v>32464</v>
      </c>
      <c r="AG82" s="283">
        <v>37351</v>
      </c>
      <c r="AH82" s="283">
        <v>42161</v>
      </c>
      <c r="AI82" s="283">
        <v>30723</v>
      </c>
      <c r="AJ82" s="283">
        <v>35566</v>
      </c>
      <c r="AK82" s="283">
        <v>39677</v>
      </c>
      <c r="AL82" s="283">
        <v>44190</v>
      </c>
      <c r="AM82" s="283">
        <v>51012</v>
      </c>
      <c r="AN82" s="283">
        <v>55477</v>
      </c>
      <c r="AO82" s="283">
        <v>59286</v>
      </c>
      <c r="AP82" s="283">
        <v>63620</v>
      </c>
      <c r="AQ82" s="283">
        <v>-43025</v>
      </c>
      <c r="AR82" s="283">
        <v>-27975</v>
      </c>
      <c r="AS82" s="283">
        <v>63620</v>
      </c>
      <c r="AT82" s="283">
        <v>0</v>
      </c>
      <c r="AU82" s="283">
        <v>29412</v>
      </c>
      <c r="AV82" s="283">
        <v>30002</v>
      </c>
      <c r="AW82" s="283">
        <v>0</v>
      </c>
      <c r="AX82" s="283">
        <v>0</v>
      </c>
      <c r="AY82" s="283">
        <v>0</v>
      </c>
      <c r="AZ82" s="283">
        <v>0</v>
      </c>
      <c r="BA82" s="283">
        <v>0</v>
      </c>
      <c r="BB82" s="142"/>
      <c r="BC82" s="142"/>
    </row>
    <row r="83" spans="1:55" s="281" customFormat="1" ht="13.5" customHeight="1" x14ac:dyDescent="0.25">
      <c r="A83" s="142" t="s">
        <v>49</v>
      </c>
      <c r="B83" s="282">
        <v>0</v>
      </c>
      <c r="C83" s="282">
        <v>636593</v>
      </c>
      <c r="D83" s="282">
        <v>326904</v>
      </c>
      <c r="E83" s="282">
        <v>206131</v>
      </c>
      <c r="F83" s="27">
        <v>0</v>
      </c>
      <c r="G83" s="27">
        <v>429383</v>
      </c>
      <c r="H83" s="27">
        <v>260928</v>
      </c>
      <c r="I83" s="27">
        <v>133663</v>
      </c>
      <c r="J83" s="27">
        <v>0</v>
      </c>
      <c r="K83" s="27">
        <v>190674</v>
      </c>
      <c r="L83" s="27">
        <v>336947</v>
      </c>
      <c r="M83" s="27">
        <v>154969</v>
      </c>
      <c r="N83" s="27">
        <v>0</v>
      </c>
      <c r="O83" s="27">
        <f>'[6]Quadro 1'!$B$115</f>
        <v>395402</v>
      </c>
      <c r="P83" s="27">
        <v>217933</v>
      </c>
      <c r="Q83" s="27">
        <v>115428</v>
      </c>
      <c r="R83" s="27">
        <v>0</v>
      </c>
      <c r="S83" s="27">
        <v>373261</v>
      </c>
      <c r="T83" s="27">
        <v>232017</v>
      </c>
      <c r="U83" s="27">
        <v>133835</v>
      </c>
      <c r="V83" s="282">
        <v>0</v>
      </c>
      <c r="W83" s="282">
        <v>213262</v>
      </c>
      <c r="X83" s="282">
        <v>141380</v>
      </c>
      <c r="Y83" s="282">
        <v>82490</v>
      </c>
      <c r="Z83" s="282">
        <v>0</v>
      </c>
      <c r="AA83" s="282">
        <v>302136</v>
      </c>
      <c r="AB83" s="282">
        <v>191158</v>
      </c>
      <c r="AC83" s="282">
        <v>117349</v>
      </c>
      <c r="AD83" s="282">
        <v>0</v>
      </c>
      <c r="AE83" s="282">
        <v>221571</v>
      </c>
      <c r="AF83" s="282">
        <v>141334</v>
      </c>
      <c r="AG83" s="282">
        <v>65954</v>
      </c>
      <c r="AH83" s="282">
        <v>0</v>
      </c>
      <c r="AI83" s="282">
        <v>23786</v>
      </c>
      <c r="AJ83" s="282">
        <v>16431</v>
      </c>
      <c r="AK83" s="282">
        <v>12783</v>
      </c>
      <c r="AL83" s="282">
        <v>0</v>
      </c>
      <c r="AM83" s="282">
        <v>198611</v>
      </c>
      <c r="AN83" s="282">
        <v>132347</v>
      </c>
      <c r="AO83" s="282">
        <v>82836</v>
      </c>
      <c r="AP83" s="282">
        <v>0</v>
      </c>
      <c r="AQ83" s="282">
        <v>216292</v>
      </c>
      <c r="AR83" s="282">
        <v>118153</v>
      </c>
      <c r="AS83" s="282">
        <v>0</v>
      </c>
      <c r="AT83" s="282">
        <v>0</v>
      </c>
      <c r="AU83" s="282">
        <v>247837</v>
      </c>
      <c r="AV83" s="282">
        <v>157800</v>
      </c>
      <c r="AW83" s="282">
        <v>86627</v>
      </c>
      <c r="AX83" s="282">
        <v>0</v>
      </c>
      <c r="AY83" s="282">
        <v>241535</v>
      </c>
      <c r="AZ83" s="282">
        <v>163956</v>
      </c>
      <c r="BA83" s="282">
        <v>90827</v>
      </c>
      <c r="BB83" s="142"/>
      <c r="BC83" s="142"/>
    </row>
    <row r="84" spans="1:55" s="281" customFormat="1" ht="13.5" customHeight="1" x14ac:dyDescent="0.25">
      <c r="A84" s="19" t="s">
        <v>177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3">
        <v>0</v>
      </c>
      <c r="W84" s="283">
        <v>0</v>
      </c>
      <c r="X84" s="283">
        <v>0</v>
      </c>
      <c r="Y84" s="283">
        <v>0</v>
      </c>
      <c r="Z84" s="283">
        <v>0</v>
      </c>
      <c r="AA84" s="283">
        <v>0</v>
      </c>
      <c r="AB84" s="283">
        <v>0</v>
      </c>
      <c r="AC84" s="283">
        <v>0</v>
      </c>
      <c r="AD84" s="283">
        <v>0</v>
      </c>
      <c r="AE84" s="283">
        <v>0</v>
      </c>
      <c r="AF84" s="283">
        <v>128400</v>
      </c>
      <c r="AG84" s="283">
        <v>128400</v>
      </c>
      <c r="AH84" s="283">
        <v>128400</v>
      </c>
      <c r="AI84" s="283">
        <v>118600</v>
      </c>
      <c r="AJ84" s="283">
        <v>55700</v>
      </c>
      <c r="AK84" s="283">
        <v>0</v>
      </c>
      <c r="AL84" s="283">
        <v>0</v>
      </c>
      <c r="AM84" s="283">
        <v>0</v>
      </c>
      <c r="AN84" s="283">
        <v>0</v>
      </c>
      <c r="AO84" s="283">
        <v>0</v>
      </c>
      <c r="AP84" s="283">
        <v>0</v>
      </c>
      <c r="AQ84" s="283">
        <v>0</v>
      </c>
      <c r="AR84" s="283">
        <v>0</v>
      </c>
      <c r="AS84" s="283">
        <v>0</v>
      </c>
      <c r="AT84" s="283">
        <v>0</v>
      </c>
      <c r="AU84" s="283">
        <v>0</v>
      </c>
      <c r="AV84" s="283">
        <v>0</v>
      </c>
      <c r="AW84" s="283">
        <v>0</v>
      </c>
      <c r="AX84" s="283">
        <v>0</v>
      </c>
      <c r="AY84" s="283">
        <v>0</v>
      </c>
      <c r="AZ84" s="283">
        <v>0</v>
      </c>
      <c r="BA84" s="283">
        <v>0</v>
      </c>
      <c r="BB84" s="142"/>
      <c r="BC84" s="142"/>
    </row>
    <row r="85" spans="1:55" s="281" customFormat="1" ht="15" x14ac:dyDescent="0.25">
      <c r="A85" s="142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142"/>
      <c r="BC85" s="142"/>
    </row>
    <row r="86" spans="1:55" s="281" customFormat="1" ht="15.75" x14ac:dyDescent="0.25">
      <c r="A86" s="147" t="s">
        <v>178</v>
      </c>
      <c r="B86" s="146">
        <f t="shared" ref="B86:D86" si="9">SUM(B78:B85)</f>
        <v>7573825</v>
      </c>
      <c r="C86" s="146">
        <f t="shared" si="9"/>
        <v>7891106</v>
      </c>
      <c r="D86" s="146">
        <f t="shared" si="9"/>
        <v>7581403</v>
      </c>
      <c r="E86" s="146">
        <f>SUM(E78:E85)</f>
        <v>7460638</v>
      </c>
      <c r="F86" s="146">
        <f>SUM(F78:F85)</f>
        <v>7254514</v>
      </c>
      <c r="G86" s="146">
        <f t="shared" ref="G86:BA86" si="10">SUM(G78:G85)</f>
        <v>7191002</v>
      </c>
      <c r="H86" s="146">
        <f>SUM(H78:H85)</f>
        <v>7020862</v>
      </c>
      <c r="I86" s="146">
        <f t="shared" si="10"/>
        <v>6893609</v>
      </c>
      <c r="J86" s="146">
        <f>SUM(J78:J85)</f>
        <v>6759958</v>
      </c>
      <c r="K86" s="146">
        <f>SUM(K78:K85)</f>
        <v>6654039</v>
      </c>
      <c r="L86" s="146">
        <f t="shared" si="10"/>
        <v>6800333</v>
      </c>
      <c r="M86" s="146">
        <f t="shared" si="10"/>
        <v>6611555</v>
      </c>
      <c r="N86" s="146">
        <f t="shared" si="10"/>
        <v>6456612</v>
      </c>
      <c r="O86" s="146">
        <f t="shared" si="10"/>
        <v>7145688</v>
      </c>
      <c r="P86" s="146">
        <f>SUM(P78:P85)</f>
        <v>6968269</v>
      </c>
      <c r="Q86" s="146">
        <f t="shared" si="10"/>
        <v>6859058</v>
      </c>
      <c r="R86" s="146">
        <f t="shared" si="10"/>
        <v>6743713</v>
      </c>
      <c r="S86" s="146">
        <f t="shared" si="10"/>
        <v>6609220</v>
      </c>
      <c r="T86" s="146">
        <f t="shared" si="10"/>
        <v>6468057</v>
      </c>
      <c r="U86" s="146">
        <f t="shared" si="10"/>
        <v>6360379</v>
      </c>
      <c r="V86" s="146">
        <f t="shared" si="10"/>
        <v>6226633</v>
      </c>
      <c r="W86" s="146">
        <f t="shared" si="10"/>
        <v>6181174</v>
      </c>
      <c r="X86" s="146">
        <f t="shared" si="10"/>
        <v>6109644</v>
      </c>
      <c r="Y86" s="146">
        <f t="shared" si="10"/>
        <v>6326461</v>
      </c>
      <c r="Z86" s="146">
        <f t="shared" si="10"/>
        <v>6244343</v>
      </c>
      <c r="AA86" s="146">
        <f t="shared" si="10"/>
        <v>6238391</v>
      </c>
      <c r="AB86" s="146">
        <f t="shared" si="10"/>
        <v>6131782</v>
      </c>
      <c r="AC86" s="146">
        <f t="shared" si="10"/>
        <v>6052575</v>
      </c>
      <c r="AD86" s="146">
        <f t="shared" si="10"/>
        <v>5939687</v>
      </c>
      <c r="AE86" s="146">
        <f t="shared" si="10"/>
        <v>5865432</v>
      </c>
      <c r="AF86" s="146">
        <f t="shared" si="10"/>
        <v>5778487</v>
      </c>
      <c r="AG86" s="146">
        <f t="shared" si="10"/>
        <v>5707994</v>
      </c>
      <c r="AH86" s="146">
        <f t="shared" si="10"/>
        <v>5646850</v>
      </c>
      <c r="AI86" s="146">
        <f t="shared" si="10"/>
        <v>5665483</v>
      </c>
      <c r="AJ86" s="146">
        <f t="shared" si="10"/>
        <v>5600071</v>
      </c>
      <c r="AK86" s="146">
        <f t="shared" si="10"/>
        <v>5544834</v>
      </c>
      <c r="AL86" s="146">
        <f t="shared" si="10"/>
        <v>5536564</v>
      </c>
      <c r="AM86" s="146">
        <f t="shared" si="10"/>
        <v>5523362</v>
      </c>
      <c r="AN86" s="146">
        <f t="shared" si="10"/>
        <v>5461563</v>
      </c>
      <c r="AO86" s="146">
        <f t="shared" si="10"/>
        <v>5415862</v>
      </c>
      <c r="AP86" s="146">
        <f t="shared" si="10"/>
        <v>5337359</v>
      </c>
      <c r="AQ86" s="146">
        <f t="shared" si="10"/>
        <v>5136809</v>
      </c>
      <c r="AR86" s="146">
        <f t="shared" si="10"/>
        <v>5053720</v>
      </c>
      <c r="AS86" s="146">
        <f t="shared" si="10"/>
        <v>5337359</v>
      </c>
      <c r="AT86" s="146">
        <f t="shared" si="10"/>
        <v>4963542</v>
      </c>
      <c r="AU86" s="146">
        <f t="shared" si="10"/>
        <v>4913243</v>
      </c>
      <c r="AV86" s="146">
        <f t="shared" si="10"/>
        <v>4823182</v>
      </c>
      <c r="AW86" s="146">
        <f t="shared" si="10"/>
        <v>4588304</v>
      </c>
      <c r="AX86" s="146">
        <f t="shared" si="10"/>
        <v>4501677</v>
      </c>
      <c r="AY86" s="146">
        <f t="shared" si="10"/>
        <v>4425863</v>
      </c>
      <c r="AZ86" s="146">
        <f t="shared" si="10"/>
        <v>4348284</v>
      </c>
      <c r="BA86" s="146">
        <f t="shared" si="10"/>
        <v>4275155</v>
      </c>
      <c r="BB86" s="142"/>
      <c r="BC86" s="142"/>
    </row>
    <row r="87" spans="1:55" s="281" customFormat="1" ht="15.75" x14ac:dyDescent="0.25">
      <c r="A87" s="147" t="s">
        <v>179</v>
      </c>
      <c r="B87" s="146">
        <f t="shared" ref="B87:D87" si="11">SUM(B86,B57,B75)</f>
        <v>14173991</v>
      </c>
      <c r="C87" s="146">
        <f t="shared" si="11"/>
        <v>14001294</v>
      </c>
      <c r="D87" s="146">
        <f t="shared" si="11"/>
        <v>13498836</v>
      </c>
      <c r="E87" s="146">
        <f>SUM(E86,E57,E75)</f>
        <v>13541775</v>
      </c>
      <c r="F87" s="146">
        <f>SUM(F86,F57,F75)</f>
        <v>13175980</v>
      </c>
      <c r="G87" s="146">
        <f>SUM(G86,G57,G75)</f>
        <v>12454700</v>
      </c>
      <c r="H87" s="146">
        <f>SUM(H86,H57,H75)</f>
        <v>12475918</v>
      </c>
      <c r="I87" s="146">
        <f t="shared" ref="I87:P87" si="12">I86+I75+I57</f>
        <v>12304427</v>
      </c>
      <c r="J87" s="146">
        <f t="shared" si="12"/>
        <v>12696792</v>
      </c>
      <c r="K87" s="146">
        <f t="shared" si="12"/>
        <v>12705960</v>
      </c>
      <c r="L87" s="146">
        <f t="shared" si="12"/>
        <v>11887386</v>
      </c>
      <c r="M87" s="146">
        <f t="shared" si="12"/>
        <v>11847275</v>
      </c>
      <c r="N87" s="146">
        <f t="shared" si="12"/>
        <v>11762554</v>
      </c>
      <c r="O87" s="146">
        <f t="shared" si="12"/>
        <v>12028634</v>
      </c>
      <c r="P87" s="146">
        <f t="shared" si="12"/>
        <v>11854115</v>
      </c>
      <c r="Q87" s="146">
        <f>Q57+Q75+Q86</f>
        <v>11694504</v>
      </c>
      <c r="R87" s="146">
        <f>R57+R75+R86</f>
        <v>11520769</v>
      </c>
      <c r="S87" s="146">
        <f>S57+S75+S86</f>
        <v>11448844</v>
      </c>
      <c r="T87" s="146">
        <f t="shared" ref="T87:BA87" si="13">T86+T75+T57</f>
        <v>11382091</v>
      </c>
      <c r="U87" s="146">
        <f t="shared" si="13"/>
        <v>11230763</v>
      </c>
      <c r="V87" s="146">
        <f t="shared" si="13"/>
        <v>11165962</v>
      </c>
      <c r="W87" s="146">
        <f t="shared" si="13"/>
        <v>11084638</v>
      </c>
      <c r="X87" s="146">
        <f t="shared" si="13"/>
        <v>10701499</v>
      </c>
      <c r="Y87" s="146">
        <f t="shared" si="13"/>
        <v>11015389</v>
      </c>
      <c r="Z87" s="146">
        <f t="shared" si="13"/>
        <v>10801093</v>
      </c>
      <c r="AA87" s="146">
        <f t="shared" si="13"/>
        <v>10969232</v>
      </c>
      <c r="AB87" s="146">
        <f t="shared" si="13"/>
        <v>10916918</v>
      </c>
      <c r="AC87" s="146">
        <f t="shared" si="13"/>
        <v>10933028</v>
      </c>
      <c r="AD87" s="146">
        <f t="shared" si="13"/>
        <v>10940114</v>
      </c>
      <c r="AE87" s="146">
        <f t="shared" si="13"/>
        <v>10957142</v>
      </c>
      <c r="AF87" s="146">
        <f t="shared" si="13"/>
        <v>10734068</v>
      </c>
      <c r="AG87" s="146">
        <f t="shared" si="13"/>
        <v>10748700</v>
      </c>
      <c r="AH87" s="146">
        <f t="shared" si="13"/>
        <v>10938168</v>
      </c>
      <c r="AI87" s="146">
        <f t="shared" si="13"/>
        <v>10881371</v>
      </c>
      <c r="AJ87" s="146">
        <f t="shared" si="13"/>
        <v>10419795</v>
      </c>
      <c r="AK87" s="146">
        <f t="shared" si="13"/>
        <v>10243432</v>
      </c>
      <c r="AL87" s="146">
        <f t="shared" si="13"/>
        <v>10154641</v>
      </c>
      <c r="AM87" s="146">
        <f t="shared" si="13"/>
        <v>9800876.5</v>
      </c>
      <c r="AN87" s="146">
        <f t="shared" si="13"/>
        <v>9634103</v>
      </c>
      <c r="AO87" s="146">
        <f t="shared" si="13"/>
        <v>9514969</v>
      </c>
      <c r="AP87" s="146">
        <f t="shared" si="13"/>
        <v>9456301</v>
      </c>
      <c r="AQ87" s="146">
        <f t="shared" si="13"/>
        <v>9370250</v>
      </c>
      <c r="AR87" s="146">
        <f t="shared" si="13"/>
        <v>9324778</v>
      </c>
      <c r="AS87" s="146">
        <f t="shared" si="13"/>
        <v>9456301</v>
      </c>
      <c r="AT87" s="146">
        <f t="shared" si="13"/>
        <v>8992688</v>
      </c>
      <c r="AU87" s="146">
        <f t="shared" si="13"/>
        <v>8976362</v>
      </c>
      <c r="AV87" s="146">
        <f t="shared" si="13"/>
        <v>8897098</v>
      </c>
      <c r="AW87" s="146">
        <f t="shared" si="13"/>
        <v>8822192</v>
      </c>
      <c r="AX87" s="146">
        <f t="shared" si="13"/>
        <v>8274201</v>
      </c>
      <c r="AY87" s="146">
        <f t="shared" si="13"/>
        <v>7851346</v>
      </c>
      <c r="AZ87" s="146">
        <f t="shared" si="13"/>
        <v>7564581</v>
      </c>
      <c r="BA87" s="146">
        <f t="shared" si="13"/>
        <v>7436845</v>
      </c>
      <c r="BB87" s="142"/>
      <c r="BC87" s="142"/>
    </row>
    <row r="88" spans="1:55" s="143" customFormat="1" ht="15" x14ac:dyDescent="0.25">
      <c r="A88" s="66"/>
      <c r="B88" s="66"/>
      <c r="C88" s="66"/>
      <c r="D88" s="66"/>
      <c r="E88" s="66"/>
      <c r="F88" s="278"/>
      <c r="G88" s="66"/>
      <c r="H88" s="66"/>
      <c r="I88" s="66"/>
      <c r="J88" s="66"/>
      <c r="K88" s="66"/>
      <c r="L88" s="66"/>
      <c r="M88" s="66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66"/>
      <c r="BC88" s="66"/>
    </row>
    <row r="89" spans="1:55" ht="15" x14ac:dyDescent="0.25">
      <c r="F89" s="278"/>
      <c r="J89" s="278"/>
    </row>
    <row r="90" spans="1:55" ht="15" x14ac:dyDescent="0.25">
      <c r="F90" s="278"/>
      <c r="J90" s="278"/>
      <c r="BB90" s="278"/>
    </row>
    <row r="91" spans="1:55" ht="15" x14ac:dyDescent="0.2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55" ht="15" x14ac:dyDescent="0.2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55" ht="15" x14ac:dyDescent="0.2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55" ht="15" x14ac:dyDescent="0.2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</sheetData>
  <mergeCells count="1">
    <mergeCell ref="M1:Q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XCY214"/>
  <sheetViews>
    <sheetView zoomScale="90" zoomScaleNormal="90" workbookViewId="0">
      <selection activeCell="B133" sqref="B133:B184"/>
    </sheetView>
  </sheetViews>
  <sheetFormatPr defaultColWidth="9.140625" defaultRowHeight="15" customHeight="1" zeroHeight="1" x14ac:dyDescent="0.25"/>
  <cols>
    <col min="1" max="1" width="75.42578125" style="2" bestFit="1" customWidth="1"/>
    <col min="2" max="2" width="15.42578125" style="189" customWidth="1"/>
    <col min="3" max="3" width="15.28515625" style="2" bestFit="1" customWidth="1"/>
    <col min="4" max="5" width="15.140625" style="2" customWidth="1"/>
    <col min="6" max="6" width="15.140625" style="2" bestFit="1" customWidth="1"/>
    <col min="7" max="9" width="11.5703125" style="189" bestFit="1" customWidth="1"/>
    <col min="10" max="10" width="11.5703125" style="2" bestFit="1" customWidth="1"/>
    <col min="11" max="17" width="11.7109375" style="2" bestFit="1" customWidth="1"/>
    <col min="18" max="19" width="11.5703125" style="2" bestFit="1" customWidth="1"/>
    <col min="20" max="52" width="11.5703125" style="190" bestFit="1" customWidth="1"/>
    <col min="53" max="53" width="11.5703125" style="2" bestFit="1" customWidth="1"/>
    <col min="54" max="54" width="9.140625" style="11"/>
    <col min="55" max="16384" width="9.140625" style="2"/>
  </cols>
  <sheetData>
    <row r="1" spans="1:53" ht="74.099999999999994" customHeight="1" x14ac:dyDescent="0.25">
      <c r="A1" s="25"/>
      <c r="B1" s="3"/>
      <c r="C1" s="25"/>
      <c r="D1" s="25"/>
      <c r="E1" s="25"/>
      <c r="F1" s="25"/>
      <c r="G1" s="3"/>
      <c r="H1" s="3"/>
      <c r="I1" s="3"/>
      <c r="J1" s="25"/>
      <c r="K1" s="25"/>
      <c r="L1" s="25"/>
      <c r="M1" s="354" t="s">
        <v>198</v>
      </c>
      <c r="N1" s="354"/>
      <c r="O1" s="354"/>
      <c r="P1" s="354"/>
      <c r="Q1" s="354"/>
      <c r="R1" s="141"/>
      <c r="S1" s="141"/>
      <c r="T1" s="141"/>
      <c r="U1" s="166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</row>
    <row r="2" spans="1:53" s="167" customFormat="1" ht="25.5" customHeight="1" x14ac:dyDescent="0.25">
      <c r="A2" s="269" t="s">
        <v>199</v>
      </c>
      <c r="B2" s="349" t="s">
        <v>447</v>
      </c>
      <c r="C2" s="270" t="s">
        <v>407</v>
      </c>
      <c r="D2" s="270" t="s">
        <v>404</v>
      </c>
      <c r="E2" s="270" t="s">
        <v>140</v>
      </c>
      <c r="F2" s="270" t="s">
        <v>136</v>
      </c>
      <c r="G2" s="270" t="s">
        <v>133</v>
      </c>
      <c r="H2" s="270" t="s">
        <v>73</v>
      </c>
      <c r="I2" s="270" t="s">
        <v>72</v>
      </c>
      <c r="J2" s="270" t="s">
        <v>69</v>
      </c>
      <c r="K2" s="270" t="s">
        <v>70</v>
      </c>
      <c r="L2" s="270" t="s">
        <v>67</v>
      </c>
      <c r="M2" s="270" t="s">
        <v>66</v>
      </c>
      <c r="N2" s="270" t="s">
        <v>63</v>
      </c>
      <c r="O2" s="270" t="s">
        <v>61</v>
      </c>
      <c r="P2" s="270" t="s">
        <v>60</v>
      </c>
      <c r="Q2" s="270" t="s">
        <v>59</v>
      </c>
      <c r="R2" s="270" t="s">
        <v>58</v>
      </c>
      <c r="S2" s="270" t="s">
        <v>57</v>
      </c>
      <c r="T2" s="270" t="s">
        <v>56</v>
      </c>
      <c r="U2" s="270" t="s">
        <v>55</v>
      </c>
      <c r="V2" s="270" t="s">
        <v>31</v>
      </c>
      <c r="W2" s="270" t="s">
        <v>29</v>
      </c>
      <c r="X2" s="270" t="s">
        <v>22</v>
      </c>
      <c r="Y2" s="270" t="s">
        <v>13</v>
      </c>
      <c r="Z2" s="270" t="s">
        <v>14</v>
      </c>
      <c r="AA2" s="270" t="s">
        <v>15</v>
      </c>
      <c r="AB2" s="270" t="s">
        <v>16</v>
      </c>
      <c r="AC2" s="270" t="s">
        <v>11</v>
      </c>
      <c r="AD2" s="270" t="s">
        <v>17</v>
      </c>
      <c r="AE2" s="270" t="s">
        <v>18</v>
      </c>
      <c r="AF2" s="270" t="s">
        <v>19</v>
      </c>
      <c r="AG2" s="270" t="s">
        <v>3</v>
      </c>
      <c r="AH2" s="270" t="s">
        <v>90</v>
      </c>
      <c r="AI2" s="270" t="s">
        <v>91</v>
      </c>
      <c r="AJ2" s="270" t="s">
        <v>92</v>
      </c>
      <c r="AK2" s="270" t="s">
        <v>93</v>
      </c>
      <c r="AL2" s="270" t="s">
        <v>94</v>
      </c>
      <c r="AM2" s="270" t="s">
        <v>95</v>
      </c>
      <c r="AN2" s="270" t="s">
        <v>96</v>
      </c>
      <c r="AO2" s="270" t="s">
        <v>97</v>
      </c>
      <c r="AP2" s="270" t="s">
        <v>98</v>
      </c>
      <c r="AQ2" s="270" t="s">
        <v>99</v>
      </c>
      <c r="AR2" s="270" t="s">
        <v>100</v>
      </c>
      <c r="AS2" s="270" t="s">
        <v>101</v>
      </c>
      <c r="AT2" s="270" t="s">
        <v>102</v>
      </c>
      <c r="AU2" s="270" t="s">
        <v>103</v>
      </c>
      <c r="AV2" s="270" t="s">
        <v>104</v>
      </c>
      <c r="AW2" s="270" t="s">
        <v>105</v>
      </c>
      <c r="AX2" s="270" t="s">
        <v>106</v>
      </c>
      <c r="AY2" s="270" t="s">
        <v>107</v>
      </c>
      <c r="AZ2" s="270" t="s">
        <v>108</v>
      </c>
      <c r="BA2" s="270" t="s">
        <v>109</v>
      </c>
    </row>
    <row r="3" spans="1:53" s="13" customFormat="1" x14ac:dyDescent="0.25">
      <c r="A3" s="191" t="s">
        <v>200</v>
      </c>
      <c r="B3" s="165"/>
      <c r="C3" s="191"/>
      <c r="D3" s="191"/>
      <c r="E3" s="191"/>
      <c r="F3" s="191"/>
      <c r="G3" s="165"/>
      <c r="H3" s="165"/>
      <c r="I3" s="165"/>
      <c r="J3" s="191"/>
      <c r="K3" s="191"/>
      <c r="L3" s="191"/>
      <c r="M3" s="191"/>
      <c r="N3" s="191"/>
      <c r="O3" s="191"/>
      <c r="P3" s="191"/>
      <c r="Q3" s="191"/>
      <c r="R3" s="165"/>
      <c r="S3" s="165"/>
      <c r="T3" s="165"/>
      <c r="U3" s="165"/>
      <c r="V3" s="165"/>
      <c r="W3" s="165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</row>
    <row r="4" spans="1:53" s="13" customFormat="1" x14ac:dyDescent="0.25">
      <c r="A4" s="164" t="s">
        <v>201</v>
      </c>
      <c r="B4" s="165"/>
      <c r="C4" s="164"/>
      <c r="D4" s="164"/>
      <c r="E4" s="164"/>
      <c r="F4" s="164"/>
      <c r="G4" s="165"/>
      <c r="H4" s="165"/>
      <c r="I4" s="165"/>
      <c r="J4" s="164"/>
      <c r="K4" s="164"/>
      <c r="L4" s="164"/>
      <c r="M4" s="164"/>
      <c r="N4" s="164"/>
      <c r="O4" s="164"/>
      <c r="P4" s="164"/>
      <c r="Q4" s="164"/>
      <c r="R4" s="165"/>
      <c r="S4" s="165"/>
      <c r="T4" s="165"/>
      <c r="U4" s="165"/>
      <c r="V4" s="165"/>
      <c r="W4" s="165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</row>
    <row r="5" spans="1:53" s="13" customFormat="1" x14ac:dyDescent="0.25">
      <c r="A5" s="164" t="s">
        <v>202</v>
      </c>
      <c r="B5" s="165"/>
      <c r="C5" s="164"/>
      <c r="D5" s="164"/>
      <c r="E5" s="164"/>
      <c r="F5" s="164"/>
      <c r="G5" s="165"/>
      <c r="H5" s="165"/>
      <c r="I5" s="165"/>
      <c r="J5" s="164"/>
      <c r="K5" s="164"/>
      <c r="L5" s="164"/>
      <c r="M5" s="164"/>
      <c r="N5" s="164"/>
      <c r="O5" s="164"/>
      <c r="P5" s="164"/>
      <c r="Q5" s="164"/>
      <c r="R5" s="165"/>
      <c r="S5" s="165"/>
      <c r="T5" s="165"/>
      <c r="U5" s="165"/>
      <c r="V5" s="165"/>
      <c r="W5" s="165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</row>
    <row r="6" spans="1:53" s="11" customFormat="1" hidden="1" x14ac:dyDescent="0.25">
      <c r="A6" s="193"/>
      <c r="B6" s="340"/>
      <c r="C6" s="193"/>
      <c r="D6" s="193"/>
      <c r="E6" s="193"/>
      <c r="F6" s="193"/>
      <c r="G6" s="194"/>
      <c r="H6" s="194"/>
      <c r="I6" s="194"/>
      <c r="J6" s="193"/>
      <c r="K6" s="193"/>
      <c r="L6" s="193"/>
      <c r="M6" s="193"/>
      <c r="N6" s="193"/>
      <c r="O6" s="193"/>
      <c r="P6" s="193"/>
      <c r="Q6" s="193"/>
      <c r="R6" s="195"/>
      <c r="S6" s="195"/>
      <c r="T6" s="195"/>
      <c r="U6" s="195"/>
      <c r="V6" s="195"/>
      <c r="W6" s="195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</row>
    <row r="7" spans="1:53" s="11" customFormat="1" hidden="1" x14ac:dyDescent="0.25">
      <c r="A7" s="197" t="s">
        <v>203</v>
      </c>
      <c r="B7" s="341"/>
      <c r="C7" s="197"/>
      <c r="D7" s="197"/>
      <c r="E7" s="197"/>
      <c r="F7" s="197"/>
      <c r="G7" s="195"/>
      <c r="H7" s="195"/>
      <c r="I7" s="195"/>
      <c r="J7" s="198">
        <v>38119.830360000014</v>
      </c>
      <c r="K7" s="195"/>
      <c r="L7" s="195">
        <v>36114.672250000003</v>
      </c>
      <c r="M7" s="195">
        <v>35154.364600000001</v>
      </c>
      <c r="N7" s="195">
        <v>34500.058640000003</v>
      </c>
      <c r="O7" s="195">
        <v>33818.065630000005</v>
      </c>
      <c r="P7" s="195">
        <v>33056.139040000002</v>
      </c>
      <c r="Q7" s="195">
        <v>32374.59187</v>
      </c>
      <c r="R7" s="195">
        <v>31748.142659999998</v>
      </c>
      <c r="S7" s="195">
        <v>30989.666679999998</v>
      </c>
      <c r="T7" s="195">
        <v>30248.251179999999</v>
      </c>
      <c r="U7" s="195">
        <v>29423.484370000002</v>
      </c>
      <c r="V7" s="196">
        <v>28528.527969999999</v>
      </c>
      <c r="W7" s="196">
        <v>27411.791829999998</v>
      </c>
      <c r="X7" s="196">
        <v>29060.537700000004</v>
      </c>
      <c r="Y7" s="196">
        <v>27829.7</v>
      </c>
      <c r="Z7" s="196">
        <v>26799</v>
      </c>
      <c r="AA7" s="196">
        <v>25428</v>
      </c>
      <c r="AB7" s="196">
        <v>23858</v>
      </c>
      <c r="AC7" s="196">
        <v>22245</v>
      </c>
      <c r="AD7" s="196">
        <v>21388</v>
      </c>
      <c r="AE7" s="196">
        <v>21219</v>
      </c>
      <c r="AF7" s="196">
        <v>23044</v>
      </c>
      <c r="AG7" s="196">
        <v>38356</v>
      </c>
      <c r="AH7" s="196">
        <v>53083</v>
      </c>
      <c r="AI7" s="196">
        <v>66602</v>
      </c>
      <c r="AJ7" s="196">
        <v>78799</v>
      </c>
      <c r="AK7" s="196">
        <v>77897</v>
      </c>
      <c r="AL7" s="196">
        <v>78228</v>
      </c>
      <c r="AM7" s="196">
        <v>81244</v>
      </c>
      <c r="AN7" s="196">
        <v>85345</v>
      </c>
      <c r="AO7" s="196">
        <v>122917</v>
      </c>
      <c r="AP7" s="196">
        <v>123627</v>
      </c>
      <c r="AQ7" s="196">
        <v>126044</v>
      </c>
      <c r="AR7" s="196">
        <v>124621</v>
      </c>
      <c r="AS7" s="196">
        <v>123160</v>
      </c>
      <c r="AT7" s="196">
        <v>121564</v>
      </c>
      <c r="AU7" s="196">
        <v>119943</v>
      </c>
      <c r="AV7" s="196">
        <v>118515</v>
      </c>
      <c r="AW7" s="196">
        <v>116532</v>
      </c>
      <c r="AX7" s="196">
        <v>114916</v>
      </c>
      <c r="AY7" s="196">
        <v>112607.899</v>
      </c>
      <c r="AZ7" s="196">
        <v>108705</v>
      </c>
      <c r="BA7" s="196">
        <v>105070</v>
      </c>
    </row>
    <row r="8" spans="1:53" s="11" customFormat="1" hidden="1" x14ac:dyDescent="0.25">
      <c r="A8" s="197" t="s">
        <v>197</v>
      </c>
      <c r="B8" s="341"/>
      <c r="C8" s="197"/>
      <c r="D8" s="197"/>
      <c r="E8" s="197"/>
      <c r="F8" s="197"/>
      <c r="G8" s="195"/>
      <c r="H8" s="195"/>
      <c r="I8" s="195"/>
      <c r="J8" s="198">
        <v>12499.792240000004</v>
      </c>
      <c r="K8" s="195"/>
      <c r="L8" s="195">
        <v>12956.347240000001</v>
      </c>
      <c r="M8" s="195">
        <v>13359.950280000001</v>
      </c>
      <c r="N8" s="195">
        <v>13773.900109999999</v>
      </c>
      <c r="O8" s="195">
        <v>14658.308370000001</v>
      </c>
      <c r="P8" s="195">
        <v>15368.488369999999</v>
      </c>
      <c r="Q8" s="195">
        <v>15906.94786</v>
      </c>
      <c r="R8" s="195">
        <v>16423.557349999999</v>
      </c>
      <c r="S8" s="195">
        <v>16460.35512</v>
      </c>
      <c r="T8" s="195">
        <v>16460.055609999999</v>
      </c>
      <c r="U8" s="195">
        <v>16485.41044</v>
      </c>
      <c r="V8" s="196">
        <v>16551.472300000001</v>
      </c>
      <c r="W8" s="196">
        <v>16994.669100000003</v>
      </c>
      <c r="X8" s="196">
        <v>17910.74494</v>
      </c>
      <c r="Y8" s="196">
        <v>18820.3</v>
      </c>
      <c r="Z8" s="196">
        <v>19649</v>
      </c>
      <c r="AA8" s="196">
        <v>20096</v>
      </c>
      <c r="AB8" s="196">
        <v>20094</v>
      </c>
      <c r="AC8" s="196">
        <v>20122</v>
      </c>
      <c r="AD8" s="196">
        <v>20073</v>
      </c>
      <c r="AE8" s="196">
        <v>19361</v>
      </c>
      <c r="AF8" s="196">
        <v>18612</v>
      </c>
      <c r="AG8" s="196">
        <v>17875</v>
      </c>
      <c r="AH8" s="196">
        <v>17374</v>
      </c>
      <c r="AI8" s="196">
        <v>17020</v>
      </c>
      <c r="AJ8" s="196">
        <v>15945</v>
      </c>
      <c r="AK8" s="196">
        <v>14598</v>
      </c>
      <c r="AL8" s="196">
        <v>13053</v>
      </c>
      <c r="AM8" s="196">
        <v>10264</v>
      </c>
      <c r="AN8" s="196">
        <v>8424</v>
      </c>
      <c r="AO8" s="196">
        <v>6317</v>
      </c>
      <c r="AP8" s="196">
        <v>4981</v>
      </c>
      <c r="AQ8" s="196">
        <v>4835</v>
      </c>
      <c r="AR8" s="196">
        <v>4826</v>
      </c>
      <c r="AS8" s="196">
        <v>1188</v>
      </c>
      <c r="AT8" s="196">
        <v>772</v>
      </c>
      <c r="AU8" s="196">
        <v>0</v>
      </c>
      <c r="AV8" s="196">
        <v>0</v>
      </c>
      <c r="AW8" s="196">
        <v>0</v>
      </c>
      <c r="AX8" s="196">
        <v>0</v>
      </c>
      <c r="AY8" s="196">
        <v>0</v>
      </c>
      <c r="AZ8" s="196">
        <v>0</v>
      </c>
      <c r="BA8" s="196">
        <v>0</v>
      </c>
    </row>
    <row r="9" spans="1:53" s="11" customFormat="1" hidden="1" x14ac:dyDescent="0.25">
      <c r="A9" s="197" t="s">
        <v>88</v>
      </c>
      <c r="B9" s="341"/>
      <c r="C9" s="197"/>
      <c r="D9" s="197"/>
      <c r="E9" s="197"/>
      <c r="F9" s="197"/>
      <c r="G9" s="195"/>
      <c r="H9" s="195"/>
      <c r="I9" s="195"/>
      <c r="J9" s="195" t="s">
        <v>0</v>
      </c>
      <c r="K9" s="195"/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v>0</v>
      </c>
      <c r="AD9" s="195">
        <v>0</v>
      </c>
      <c r="AE9" s="195">
        <v>0</v>
      </c>
      <c r="AF9" s="195">
        <v>0</v>
      </c>
      <c r="AG9" s="195">
        <v>0</v>
      </c>
      <c r="AH9" s="195">
        <v>0</v>
      </c>
      <c r="AI9" s="195">
        <v>0</v>
      </c>
      <c r="AJ9" s="195">
        <v>0</v>
      </c>
      <c r="AK9" s="196">
        <v>0</v>
      </c>
      <c r="AL9" s="196">
        <v>540</v>
      </c>
      <c r="AM9" s="196">
        <v>1635</v>
      </c>
      <c r="AN9" s="196">
        <v>2912</v>
      </c>
      <c r="AO9" s="196">
        <v>3254</v>
      </c>
      <c r="AP9" s="196">
        <v>3047</v>
      </c>
      <c r="AQ9" s="196">
        <v>5157</v>
      </c>
      <c r="AR9" s="196">
        <v>5107</v>
      </c>
      <c r="AS9" s="196">
        <v>4957</v>
      </c>
      <c r="AT9" s="196">
        <v>4929</v>
      </c>
      <c r="AU9" s="196">
        <v>5184</v>
      </c>
      <c r="AV9" s="196">
        <v>5034</v>
      </c>
      <c r="AW9" s="196">
        <v>4767</v>
      </c>
      <c r="AX9" s="196">
        <v>4717</v>
      </c>
      <c r="AY9" s="196">
        <v>5030</v>
      </c>
      <c r="AZ9" s="196">
        <v>5006</v>
      </c>
      <c r="BA9" s="196">
        <v>4764</v>
      </c>
    </row>
    <row r="10" spans="1:53" s="11" customFormat="1" hidden="1" x14ac:dyDescent="0.25">
      <c r="A10" s="197" t="s">
        <v>87</v>
      </c>
      <c r="B10" s="341"/>
      <c r="C10" s="197"/>
      <c r="D10" s="197"/>
      <c r="E10" s="197"/>
      <c r="F10" s="197"/>
      <c r="G10" s="195"/>
      <c r="H10" s="195"/>
      <c r="I10" s="195"/>
      <c r="J10" s="195" t="s">
        <v>0</v>
      </c>
      <c r="K10" s="195"/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195">
        <v>0</v>
      </c>
      <c r="AG10" s="195">
        <v>0</v>
      </c>
      <c r="AH10" s="195">
        <v>0</v>
      </c>
      <c r="AI10" s="195">
        <v>0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6">
        <v>0</v>
      </c>
      <c r="AP10" s="196">
        <v>3327</v>
      </c>
      <c r="AQ10" s="196">
        <v>13218</v>
      </c>
      <c r="AR10" s="196">
        <v>22974</v>
      </c>
      <c r="AS10" s="196">
        <v>32605</v>
      </c>
      <c r="AT10" s="196">
        <v>38801</v>
      </c>
      <c r="AU10" s="196">
        <v>38337</v>
      </c>
      <c r="AV10" s="196">
        <v>37869</v>
      </c>
      <c r="AW10" s="196">
        <v>37392</v>
      </c>
      <c r="AX10" s="196">
        <v>36875</v>
      </c>
      <c r="AY10" s="196">
        <v>36354</v>
      </c>
      <c r="AZ10" s="196">
        <v>35768</v>
      </c>
      <c r="BA10" s="196">
        <v>35235</v>
      </c>
    </row>
    <row r="11" spans="1:53" s="11" customFormat="1" hidden="1" x14ac:dyDescent="0.25">
      <c r="A11" s="197" t="s">
        <v>86</v>
      </c>
      <c r="B11" s="341"/>
      <c r="C11" s="197"/>
      <c r="D11" s="197"/>
      <c r="E11" s="197"/>
      <c r="F11" s="197"/>
      <c r="G11" s="195"/>
      <c r="H11" s="195"/>
      <c r="I11" s="195"/>
      <c r="J11" s="195" t="s">
        <v>0</v>
      </c>
      <c r="K11" s="195"/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5">
        <v>0</v>
      </c>
      <c r="AE11" s="195">
        <v>0</v>
      </c>
      <c r="AF11" s="195">
        <v>0</v>
      </c>
      <c r="AG11" s="195">
        <v>0</v>
      </c>
      <c r="AH11" s="196">
        <v>0</v>
      </c>
      <c r="AI11" s="196">
        <v>154931</v>
      </c>
      <c r="AJ11" s="196">
        <v>149465</v>
      </c>
      <c r="AK11" s="196">
        <v>144794</v>
      </c>
      <c r="AL11" s="196">
        <v>140585</v>
      </c>
      <c r="AM11" s="196">
        <v>0</v>
      </c>
      <c r="AN11" s="196">
        <v>0</v>
      </c>
      <c r="AO11" s="196">
        <v>0</v>
      </c>
      <c r="AP11" s="196">
        <v>0</v>
      </c>
      <c r="AQ11" s="196">
        <v>0</v>
      </c>
      <c r="AR11" s="196">
        <v>0</v>
      </c>
      <c r="AS11" s="196">
        <v>0</v>
      </c>
      <c r="AT11" s="196">
        <v>0</v>
      </c>
      <c r="AU11" s="196">
        <v>0</v>
      </c>
      <c r="AV11" s="196">
        <v>163291</v>
      </c>
      <c r="AW11" s="196">
        <v>159785</v>
      </c>
      <c r="AX11" s="196">
        <v>155924</v>
      </c>
      <c r="AY11" s="196">
        <v>148000</v>
      </c>
      <c r="AZ11" s="196">
        <v>0</v>
      </c>
      <c r="BA11" s="196">
        <v>0</v>
      </c>
    </row>
    <row r="12" spans="1:53" s="11" customFormat="1" hidden="1" x14ac:dyDescent="0.25">
      <c r="A12" s="197" t="s">
        <v>204</v>
      </c>
      <c r="B12" s="341"/>
      <c r="C12" s="197"/>
      <c r="D12" s="197"/>
      <c r="E12" s="197"/>
      <c r="F12" s="197"/>
      <c r="G12" s="195"/>
      <c r="H12" s="195"/>
      <c r="I12" s="195"/>
      <c r="J12" s="198">
        <v>69600.87718000001</v>
      </c>
      <c r="K12" s="195"/>
      <c r="L12" s="195">
        <v>69628.23348000001</v>
      </c>
      <c r="M12" s="195">
        <v>81458.081569999995</v>
      </c>
      <c r="N12" s="195">
        <v>81525.125019999992</v>
      </c>
      <c r="O12" s="195">
        <v>81572.580679999999</v>
      </c>
      <c r="P12" s="195">
        <v>60375.083100000003</v>
      </c>
      <c r="Q12" s="195">
        <v>68472.479519999993</v>
      </c>
      <c r="R12" s="195">
        <v>70655.875629999995</v>
      </c>
      <c r="S12" s="195">
        <v>73287.734410000005</v>
      </c>
      <c r="T12" s="195">
        <v>75855.904679999992</v>
      </c>
      <c r="U12" s="195">
        <v>77873.014479999998</v>
      </c>
      <c r="V12" s="196">
        <v>78086.842780000006</v>
      </c>
      <c r="W12" s="196">
        <v>77953.506479999996</v>
      </c>
      <c r="X12" s="196">
        <v>72444.927159999992</v>
      </c>
      <c r="Y12" s="196">
        <v>72471.600000000006</v>
      </c>
      <c r="Z12" s="196">
        <v>72402</v>
      </c>
      <c r="AA12" s="196">
        <v>72205</v>
      </c>
      <c r="AB12" s="196">
        <v>72000</v>
      </c>
      <c r="AC12" s="196">
        <v>72057</v>
      </c>
      <c r="AD12" s="196">
        <v>71585</v>
      </c>
      <c r="AE12" s="196">
        <v>71568</v>
      </c>
      <c r="AF12" s="196">
        <v>71366</v>
      </c>
      <c r="AG12" s="196">
        <v>71268</v>
      </c>
      <c r="AH12" s="196">
        <v>71068</v>
      </c>
      <c r="AI12" s="196">
        <v>70262</v>
      </c>
      <c r="AJ12" s="196">
        <v>70200</v>
      </c>
      <c r="AK12" s="196">
        <v>69768</v>
      </c>
      <c r="AL12" s="196">
        <v>68600</v>
      </c>
      <c r="AM12" s="196">
        <v>64990</v>
      </c>
      <c r="AN12" s="196">
        <v>62003</v>
      </c>
      <c r="AO12" s="196">
        <v>60196</v>
      </c>
      <c r="AP12" s="196">
        <v>59269</v>
      </c>
      <c r="AQ12" s="196">
        <v>60270</v>
      </c>
      <c r="AR12" s="196">
        <v>60187</v>
      </c>
      <c r="AS12" s="196">
        <v>59316</v>
      </c>
      <c r="AT12" s="196">
        <v>59255</v>
      </c>
      <c r="AU12" s="196">
        <v>57570</v>
      </c>
      <c r="AV12" s="196">
        <v>56671</v>
      </c>
      <c r="AW12" s="196">
        <v>55432</v>
      </c>
      <c r="AX12" s="196">
        <v>54074</v>
      </c>
      <c r="AY12" s="196">
        <v>41227</v>
      </c>
      <c r="AZ12" s="196">
        <v>26437</v>
      </c>
      <c r="BA12" s="196">
        <v>13720</v>
      </c>
    </row>
    <row r="13" spans="1:53" s="11" customFormat="1" hidden="1" x14ac:dyDescent="0.25">
      <c r="A13" s="197" t="s">
        <v>85</v>
      </c>
      <c r="B13" s="341"/>
      <c r="C13" s="197"/>
      <c r="D13" s="197"/>
      <c r="E13" s="197"/>
      <c r="F13" s="197"/>
      <c r="G13" s="195"/>
      <c r="H13" s="195"/>
      <c r="I13" s="195"/>
      <c r="J13" s="195" t="s">
        <v>0</v>
      </c>
      <c r="K13" s="195"/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195">
        <v>0</v>
      </c>
      <c r="AI13" s="195">
        <v>0</v>
      </c>
      <c r="AJ13" s="195">
        <v>0</v>
      </c>
      <c r="AK13" s="195">
        <v>0</v>
      </c>
      <c r="AL13" s="195">
        <v>0</v>
      </c>
      <c r="AM13" s="196">
        <v>0</v>
      </c>
      <c r="AN13" s="196">
        <v>3879</v>
      </c>
      <c r="AO13" s="196">
        <v>15516</v>
      </c>
      <c r="AP13" s="196">
        <v>27091</v>
      </c>
      <c r="AQ13" s="196">
        <v>38791</v>
      </c>
      <c r="AR13" s="196">
        <v>46550</v>
      </c>
      <c r="AS13" s="196">
        <v>46627</v>
      </c>
      <c r="AT13" s="196">
        <v>46649</v>
      </c>
      <c r="AU13" s="196">
        <v>46668</v>
      </c>
      <c r="AV13" s="196">
        <v>46770</v>
      </c>
      <c r="AW13" s="196">
        <v>46842</v>
      </c>
      <c r="AX13" s="196">
        <v>46889</v>
      </c>
      <c r="AY13" s="196">
        <v>46903</v>
      </c>
      <c r="AZ13" s="196">
        <v>46947</v>
      </c>
      <c r="BA13" s="196">
        <v>47031</v>
      </c>
    </row>
    <row r="14" spans="1:53" s="11" customFormat="1" hidden="1" x14ac:dyDescent="0.25">
      <c r="A14" s="197" t="s">
        <v>84</v>
      </c>
      <c r="B14" s="341"/>
      <c r="C14" s="197"/>
      <c r="D14" s="197"/>
      <c r="E14" s="197"/>
      <c r="F14" s="197"/>
      <c r="G14" s="195"/>
      <c r="H14" s="195"/>
      <c r="I14" s="195"/>
      <c r="J14" s="195" t="s">
        <v>0</v>
      </c>
      <c r="K14" s="195"/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195">
        <v>0</v>
      </c>
      <c r="AE14" s="195">
        <v>0</v>
      </c>
      <c r="AF14" s="195">
        <v>0</v>
      </c>
      <c r="AG14" s="195">
        <v>0</v>
      </c>
      <c r="AH14" s="195">
        <v>0</v>
      </c>
      <c r="AI14" s="195">
        <v>0</v>
      </c>
      <c r="AJ14" s="195">
        <v>0</v>
      </c>
      <c r="AK14" s="195">
        <v>0</v>
      </c>
      <c r="AL14" s="195">
        <v>0</v>
      </c>
      <c r="AM14" s="196">
        <v>0</v>
      </c>
      <c r="AN14" s="196">
        <v>0</v>
      </c>
      <c r="AO14" s="196">
        <v>0</v>
      </c>
      <c r="AP14" s="196">
        <v>0</v>
      </c>
      <c r="AQ14" s="196">
        <v>0</v>
      </c>
      <c r="AR14" s="196">
        <v>0</v>
      </c>
      <c r="AS14" s="196">
        <v>7</v>
      </c>
      <c r="AT14" s="196">
        <v>7</v>
      </c>
      <c r="AU14" s="196">
        <v>8</v>
      </c>
      <c r="AV14" s="196">
        <v>9</v>
      </c>
      <c r="AW14" s="196">
        <v>72049</v>
      </c>
      <c r="AX14" s="196">
        <v>69742</v>
      </c>
      <c r="AY14" s="196">
        <v>72069.702999999994</v>
      </c>
      <c r="AZ14" s="196">
        <v>69352</v>
      </c>
      <c r="BA14" s="196">
        <v>3267.3560000000002</v>
      </c>
    </row>
    <row r="15" spans="1:53" s="11" customFormat="1" hidden="1" x14ac:dyDescent="0.25">
      <c r="A15" s="197" t="s">
        <v>205</v>
      </c>
      <c r="B15" s="341"/>
      <c r="C15" s="197"/>
      <c r="D15" s="197"/>
      <c r="E15" s="197"/>
      <c r="F15" s="197"/>
      <c r="G15" s="195"/>
      <c r="H15" s="195"/>
      <c r="I15" s="195"/>
      <c r="J15" s="195" t="s">
        <v>0</v>
      </c>
      <c r="K15" s="195"/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12392.496959999999</v>
      </c>
      <c r="T15" s="195">
        <v>24779.708299999995</v>
      </c>
      <c r="U15" s="195">
        <v>37170.51989000001</v>
      </c>
      <c r="V15" s="196">
        <v>49419.147629999985</v>
      </c>
      <c r="W15" s="196">
        <v>47871.000603611101</v>
      </c>
      <c r="X15" s="196">
        <v>45510.330853382206</v>
      </c>
      <c r="Y15" s="196">
        <v>45540.5</v>
      </c>
      <c r="Z15" s="196">
        <v>49138</v>
      </c>
      <c r="AA15" s="196">
        <v>49029</v>
      </c>
      <c r="AB15" s="196">
        <v>48974</v>
      </c>
      <c r="AC15" s="196">
        <v>51404</v>
      </c>
      <c r="AD15" s="196">
        <v>48824</v>
      </c>
      <c r="AE15" s="196">
        <v>48754</v>
      </c>
      <c r="AF15" s="196">
        <v>47994</v>
      </c>
      <c r="AG15" s="196">
        <v>48080</v>
      </c>
      <c r="AH15" s="196">
        <v>48397</v>
      </c>
      <c r="AI15" s="196">
        <v>48278</v>
      </c>
      <c r="AJ15" s="196">
        <v>48260</v>
      </c>
      <c r="AK15" s="196">
        <v>48256</v>
      </c>
      <c r="AL15" s="196">
        <v>48293</v>
      </c>
      <c r="AM15" s="196">
        <v>48282</v>
      </c>
      <c r="AN15" s="196">
        <v>48265</v>
      </c>
      <c r="AO15" s="196">
        <v>48298</v>
      </c>
      <c r="AP15" s="196">
        <v>47771</v>
      </c>
      <c r="AQ15" s="196">
        <v>48363</v>
      </c>
      <c r="AR15" s="196">
        <v>48335</v>
      </c>
      <c r="AS15" s="196">
        <v>48555</v>
      </c>
      <c r="AT15" s="196">
        <v>48521</v>
      </c>
      <c r="AU15" s="196">
        <v>48484</v>
      </c>
      <c r="AV15" s="196">
        <v>48735</v>
      </c>
      <c r="AW15" s="196">
        <v>48856</v>
      </c>
      <c r="AX15" s="196">
        <v>48898</v>
      </c>
      <c r="AY15" s="196">
        <v>48853</v>
      </c>
      <c r="AZ15" s="196">
        <v>48892</v>
      </c>
      <c r="BA15" s="196">
        <v>49025</v>
      </c>
    </row>
    <row r="16" spans="1:53" s="11" customFormat="1" hidden="1" x14ac:dyDescent="0.25">
      <c r="A16" s="197" t="s">
        <v>82</v>
      </c>
      <c r="B16" s="341"/>
      <c r="C16" s="197"/>
      <c r="D16" s="197"/>
      <c r="E16" s="197"/>
      <c r="F16" s="197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>
        <v>0</v>
      </c>
      <c r="S16" s="195"/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195">
        <v>0</v>
      </c>
      <c r="AG16" s="195">
        <v>0</v>
      </c>
      <c r="AH16" s="195">
        <v>0</v>
      </c>
      <c r="AI16" s="195">
        <v>0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0</v>
      </c>
      <c r="AR16" s="195">
        <v>0</v>
      </c>
      <c r="AS16" s="195">
        <v>0</v>
      </c>
      <c r="AT16" s="195">
        <v>0</v>
      </c>
      <c r="AU16" s="195">
        <v>0</v>
      </c>
      <c r="AV16" s="195">
        <v>0</v>
      </c>
      <c r="AW16" s="195">
        <v>0</v>
      </c>
      <c r="AX16" s="195">
        <v>0</v>
      </c>
      <c r="AY16" s="195">
        <v>0</v>
      </c>
      <c r="AZ16" s="195">
        <v>0</v>
      </c>
      <c r="BA16" s="195">
        <v>0</v>
      </c>
    </row>
    <row r="17" spans="1:16327" s="11" customFormat="1" hidden="1" x14ac:dyDescent="0.25">
      <c r="A17" s="199" t="s">
        <v>206</v>
      </c>
      <c r="B17" s="342"/>
      <c r="C17" s="199"/>
      <c r="D17" s="199"/>
      <c r="E17" s="199"/>
      <c r="F17" s="199"/>
      <c r="G17" s="195"/>
      <c r="H17" s="195"/>
      <c r="I17" s="195"/>
      <c r="J17" s="195">
        <v>15497.364940000001</v>
      </c>
      <c r="K17" s="195"/>
      <c r="L17" s="195">
        <v>26560.118539999999</v>
      </c>
      <c r="M17" s="195">
        <v>34173.342190000003</v>
      </c>
      <c r="N17" s="195">
        <v>34198.831609999994</v>
      </c>
      <c r="O17" s="195">
        <v>31215.215390000001</v>
      </c>
      <c r="P17" s="195">
        <v>22383.679780000006</v>
      </c>
      <c r="Q17" s="195">
        <v>25827.138320000002</v>
      </c>
      <c r="R17" s="195">
        <v>25851.04898</v>
      </c>
      <c r="S17" s="195">
        <v>25871.593409999998</v>
      </c>
      <c r="T17" s="195">
        <v>25874.408599999995</v>
      </c>
      <c r="U17" s="195">
        <v>25928.060719999998</v>
      </c>
      <c r="V17" s="196">
        <v>25855.665140000001</v>
      </c>
      <c r="W17" s="196">
        <v>25023.290491248892</v>
      </c>
      <c r="X17" s="196">
        <v>23820.867798981395</v>
      </c>
      <c r="Y17" s="196">
        <v>23846.9</v>
      </c>
      <c r="Z17" s="196">
        <v>25713</v>
      </c>
      <c r="AA17" s="196">
        <v>25637</v>
      </c>
      <c r="AB17" s="196">
        <v>25599</v>
      </c>
      <c r="AC17" s="196">
        <v>25685</v>
      </c>
      <c r="AD17" s="196">
        <v>25533</v>
      </c>
      <c r="AE17" s="196">
        <v>25519</v>
      </c>
      <c r="AF17" s="196">
        <v>25551</v>
      </c>
      <c r="AG17" s="196">
        <v>25302</v>
      </c>
      <c r="AH17" s="196">
        <v>25308</v>
      </c>
      <c r="AI17" s="196">
        <v>25233</v>
      </c>
      <c r="AJ17" s="196">
        <v>25221</v>
      </c>
      <c r="AK17" s="196">
        <v>25205</v>
      </c>
      <c r="AL17" s="196">
        <v>25219</v>
      </c>
      <c r="AM17" s="196">
        <v>25202</v>
      </c>
      <c r="AN17" s="196">
        <v>53307</v>
      </c>
      <c r="AO17" s="196">
        <v>46057</v>
      </c>
      <c r="AP17" s="196">
        <v>38586</v>
      </c>
      <c r="AQ17" s="196">
        <v>32609</v>
      </c>
      <c r="AR17" s="196">
        <v>20401</v>
      </c>
      <c r="AS17" s="196">
        <v>14097</v>
      </c>
      <c r="AT17" s="196">
        <v>13549</v>
      </c>
      <c r="AU17" s="196">
        <v>2687</v>
      </c>
      <c r="AV17" s="196">
        <v>5532</v>
      </c>
      <c r="AW17" s="196">
        <v>3883</v>
      </c>
      <c r="AX17" s="196">
        <v>3395</v>
      </c>
      <c r="AY17" s="196">
        <v>2882</v>
      </c>
      <c r="AZ17" s="196">
        <v>1794</v>
      </c>
      <c r="BA17" s="196">
        <v>1443</v>
      </c>
    </row>
    <row r="18" spans="1:16327" s="11" customFormat="1" hidden="1" x14ac:dyDescent="0.25">
      <c r="A18" s="199" t="s">
        <v>207</v>
      </c>
      <c r="B18" s="342"/>
      <c r="C18" s="199"/>
      <c r="D18" s="199"/>
      <c r="E18" s="199"/>
      <c r="F18" s="199"/>
      <c r="G18" s="195"/>
      <c r="H18" s="195"/>
      <c r="I18" s="195"/>
      <c r="J18" s="195">
        <v>54147.084000000003</v>
      </c>
      <c r="K18" s="195"/>
      <c r="L18" s="195">
        <v>57352.353509758825</v>
      </c>
      <c r="M18" s="195">
        <v>81051.119989999992</v>
      </c>
      <c r="N18" s="195">
        <v>75973.869879999998</v>
      </c>
      <c r="O18" s="195">
        <v>71108.521560000008</v>
      </c>
      <c r="P18" s="195">
        <v>9312.5844400000078</v>
      </c>
      <c r="Q18" s="195">
        <v>49676.431999999993</v>
      </c>
      <c r="R18" s="195">
        <v>46105.269730000007</v>
      </c>
      <c r="S18" s="195">
        <v>42989.126929999999</v>
      </c>
      <c r="T18" s="195">
        <v>54262.526060000004</v>
      </c>
      <c r="U18" s="195">
        <v>49858.392970000001</v>
      </c>
      <c r="V18" s="196">
        <v>45877.422730000006</v>
      </c>
      <c r="W18" s="196">
        <v>46573.597922135566</v>
      </c>
      <c r="X18" s="196">
        <v>51977.810735760067</v>
      </c>
      <c r="Y18" s="196">
        <v>47341.2</v>
      </c>
      <c r="Z18" s="196">
        <v>42842</v>
      </c>
      <c r="AA18" s="196">
        <v>38268</v>
      </c>
      <c r="AB18" s="196">
        <v>56327</v>
      </c>
      <c r="AC18" s="196">
        <v>50980</v>
      </c>
      <c r="AD18" s="196">
        <v>45435</v>
      </c>
      <c r="AE18" s="196">
        <v>40346</v>
      </c>
      <c r="AF18" s="196">
        <v>57741</v>
      </c>
      <c r="AG18" s="196">
        <v>50939</v>
      </c>
      <c r="AH18" s="196">
        <v>43967</v>
      </c>
      <c r="AI18" s="196">
        <v>37485</v>
      </c>
      <c r="AJ18" s="196">
        <v>56372</v>
      </c>
      <c r="AK18" s="196">
        <v>47965</v>
      </c>
      <c r="AL18" s="196">
        <v>40838</v>
      </c>
      <c r="AM18" s="196">
        <v>34472</v>
      </c>
      <c r="AN18" s="196">
        <v>25183</v>
      </c>
      <c r="AO18" s="196">
        <v>25198</v>
      </c>
      <c r="AP18" s="196">
        <v>24839</v>
      </c>
      <c r="AQ18" s="196">
        <v>25229</v>
      </c>
      <c r="AR18" s="196">
        <v>25629</v>
      </c>
      <c r="AS18" s="196">
        <v>19417</v>
      </c>
      <c r="AT18" s="196">
        <v>8292</v>
      </c>
      <c r="AU18" s="196">
        <v>7334</v>
      </c>
      <c r="AV18" s="196">
        <v>3395</v>
      </c>
      <c r="AW18" s="196">
        <v>3395</v>
      </c>
      <c r="AX18" s="196">
        <v>1198</v>
      </c>
      <c r="AY18" s="196">
        <v>0</v>
      </c>
      <c r="AZ18" s="196">
        <v>0</v>
      </c>
      <c r="BA18" s="196">
        <v>0</v>
      </c>
    </row>
    <row r="19" spans="1:16327" s="11" customFormat="1" hidden="1" x14ac:dyDescent="0.25">
      <c r="A19" s="199" t="s">
        <v>208</v>
      </c>
      <c r="B19" s="342"/>
      <c r="C19" s="199"/>
      <c r="D19" s="199"/>
      <c r="E19" s="199"/>
      <c r="F19" s="199"/>
      <c r="G19" s="195"/>
      <c r="H19" s="195"/>
      <c r="I19" s="195"/>
      <c r="J19" s="198">
        <v>20518.511149999995</v>
      </c>
      <c r="K19" s="195"/>
      <c r="L19" s="195">
        <v>35165.596960000003</v>
      </c>
      <c r="M19" s="195">
        <v>45245.505079999995</v>
      </c>
      <c r="N19" s="195">
        <v>45279.253069999999</v>
      </c>
      <c r="O19" s="195">
        <v>41328.945199999995</v>
      </c>
      <c r="P19" s="195">
        <v>29635.99221</v>
      </c>
      <c r="Q19" s="195">
        <v>34195.130939999995</v>
      </c>
      <c r="R19" s="195">
        <v>34226.788659999998</v>
      </c>
      <c r="S19" s="195">
        <v>34253.989479999997</v>
      </c>
      <c r="T19" s="195">
        <v>34257.716870000004</v>
      </c>
      <c r="U19" s="195">
        <v>34328.752350000002</v>
      </c>
      <c r="V19" s="196">
        <v>34232.910960000001</v>
      </c>
      <c r="W19" s="196">
        <v>33130.836589465565</v>
      </c>
      <c r="X19" s="196">
        <v>31538.828953392553</v>
      </c>
      <c r="Y19" s="196">
        <v>31573.3</v>
      </c>
      <c r="Z19" s="196">
        <v>34044</v>
      </c>
      <c r="AA19" s="196">
        <v>33943</v>
      </c>
      <c r="AB19" s="196">
        <v>33893</v>
      </c>
      <c r="AC19" s="196">
        <v>34007</v>
      </c>
      <c r="AD19" s="196">
        <v>33768</v>
      </c>
      <c r="AE19" s="196">
        <v>33748</v>
      </c>
      <c r="AF19" s="196">
        <v>33652</v>
      </c>
      <c r="AG19" s="196">
        <v>33500</v>
      </c>
      <c r="AH19" s="196">
        <v>33507</v>
      </c>
      <c r="AI19" s="196">
        <v>33408</v>
      </c>
      <c r="AJ19" s="196">
        <v>33393</v>
      </c>
      <c r="AK19" s="196">
        <v>33371</v>
      </c>
      <c r="AL19" s="196">
        <v>33390</v>
      </c>
      <c r="AM19" s="196">
        <v>30007</v>
      </c>
      <c r="AN19" s="196">
        <v>28558</v>
      </c>
      <c r="AO19" s="196">
        <v>28575</v>
      </c>
      <c r="AP19" s="196">
        <v>28166</v>
      </c>
      <c r="AQ19" s="196">
        <v>11547</v>
      </c>
      <c r="AR19" s="196">
        <v>11729</v>
      </c>
      <c r="AS19" s="196">
        <v>6142</v>
      </c>
      <c r="AT19" s="196">
        <v>4273</v>
      </c>
      <c r="AU19" s="196">
        <v>0</v>
      </c>
      <c r="AV19" s="196">
        <v>0</v>
      </c>
      <c r="AW19" s="196">
        <v>0</v>
      </c>
      <c r="AX19" s="196">
        <v>0</v>
      </c>
      <c r="AY19" s="196">
        <v>0</v>
      </c>
      <c r="AZ19" s="196">
        <v>0</v>
      </c>
      <c r="BA19" s="196">
        <v>0</v>
      </c>
      <c r="BB19" s="171"/>
      <c r="BC19" s="171">
        <v>0</v>
      </c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  <c r="IU19" s="171"/>
      <c r="IV19" s="171"/>
      <c r="IW19" s="171"/>
      <c r="IX19" s="171"/>
      <c r="IY19" s="171"/>
      <c r="IZ19" s="171"/>
      <c r="JA19" s="171"/>
      <c r="JB19" s="171"/>
      <c r="JC19" s="171"/>
      <c r="JD19" s="171"/>
      <c r="JE19" s="171"/>
      <c r="JF19" s="171"/>
      <c r="JG19" s="171"/>
      <c r="JH19" s="171"/>
      <c r="JI19" s="171"/>
      <c r="JJ19" s="171"/>
      <c r="JK19" s="171"/>
      <c r="JL19" s="171"/>
      <c r="JM19" s="171"/>
      <c r="JN19" s="171"/>
      <c r="JO19" s="171"/>
      <c r="JP19" s="171"/>
      <c r="JQ19" s="171"/>
      <c r="JR19" s="171"/>
      <c r="JS19" s="171"/>
      <c r="JT19" s="171"/>
      <c r="JU19" s="171"/>
      <c r="JV19" s="171"/>
      <c r="JW19" s="171"/>
      <c r="JX19" s="171"/>
      <c r="JY19" s="171"/>
      <c r="JZ19" s="171"/>
      <c r="KA19" s="171"/>
      <c r="KB19" s="171"/>
      <c r="KC19" s="171"/>
      <c r="KD19" s="171"/>
      <c r="KE19" s="171"/>
      <c r="KF19" s="171"/>
      <c r="KG19" s="171"/>
      <c r="KH19" s="171"/>
      <c r="KI19" s="171"/>
      <c r="KJ19" s="171"/>
      <c r="KK19" s="171"/>
      <c r="KL19" s="171"/>
      <c r="KM19" s="171"/>
      <c r="KN19" s="171"/>
      <c r="KO19" s="171"/>
      <c r="KP19" s="171"/>
      <c r="KQ19" s="171"/>
      <c r="KR19" s="171"/>
      <c r="KS19" s="171"/>
      <c r="KT19" s="171"/>
      <c r="KU19" s="171"/>
      <c r="KV19" s="171"/>
      <c r="KW19" s="171"/>
      <c r="KX19" s="171"/>
      <c r="KY19" s="171"/>
      <c r="KZ19" s="171"/>
      <c r="LA19" s="171"/>
      <c r="LB19" s="171"/>
      <c r="LC19" s="171"/>
      <c r="LD19" s="171"/>
      <c r="LE19" s="171"/>
      <c r="LF19" s="171"/>
      <c r="LG19" s="171"/>
      <c r="LH19" s="171"/>
      <c r="LI19" s="171"/>
      <c r="LJ19" s="171"/>
      <c r="LK19" s="171"/>
      <c r="LL19" s="171"/>
      <c r="LM19" s="171"/>
      <c r="LN19" s="171"/>
      <c r="LO19" s="171"/>
      <c r="LP19" s="171"/>
      <c r="LQ19" s="171"/>
      <c r="LR19" s="171"/>
      <c r="LS19" s="171"/>
      <c r="LT19" s="171"/>
      <c r="LU19" s="171"/>
      <c r="LV19" s="171"/>
      <c r="LW19" s="171"/>
      <c r="LX19" s="171"/>
      <c r="LY19" s="171"/>
      <c r="LZ19" s="171"/>
      <c r="MA19" s="171"/>
      <c r="MB19" s="171"/>
      <c r="MC19" s="171"/>
      <c r="MD19" s="171"/>
      <c r="ME19" s="171"/>
      <c r="MF19" s="171"/>
      <c r="MG19" s="171"/>
      <c r="MH19" s="171"/>
      <c r="MI19" s="171"/>
      <c r="MJ19" s="171"/>
      <c r="MK19" s="171"/>
      <c r="ML19" s="171"/>
      <c r="MM19" s="171"/>
      <c r="MN19" s="171"/>
      <c r="MO19" s="171"/>
      <c r="MP19" s="171"/>
      <c r="MQ19" s="171"/>
      <c r="MR19" s="171"/>
      <c r="MS19" s="171"/>
      <c r="MT19" s="171"/>
      <c r="MU19" s="171"/>
      <c r="MV19" s="171"/>
      <c r="MW19" s="171"/>
      <c r="MX19" s="171"/>
      <c r="MY19" s="171"/>
      <c r="MZ19" s="171"/>
      <c r="NA19" s="171"/>
      <c r="NB19" s="171"/>
      <c r="NC19" s="171"/>
      <c r="ND19" s="171"/>
      <c r="NE19" s="171"/>
      <c r="NF19" s="171"/>
      <c r="NG19" s="171"/>
      <c r="NH19" s="171"/>
      <c r="NI19" s="171"/>
      <c r="NJ19" s="171"/>
      <c r="NK19" s="171"/>
      <c r="NL19" s="171"/>
      <c r="NM19" s="171"/>
      <c r="NN19" s="171"/>
      <c r="NO19" s="171"/>
      <c r="NP19" s="171"/>
      <c r="NQ19" s="171"/>
      <c r="NR19" s="171"/>
      <c r="NS19" s="171"/>
      <c r="NT19" s="171"/>
      <c r="NU19" s="171"/>
      <c r="NV19" s="171"/>
      <c r="NW19" s="171"/>
      <c r="NX19" s="171"/>
      <c r="NY19" s="171"/>
      <c r="NZ19" s="171"/>
      <c r="OA19" s="171"/>
      <c r="OB19" s="171"/>
      <c r="OC19" s="171"/>
      <c r="OD19" s="171"/>
      <c r="OE19" s="171"/>
      <c r="OF19" s="171"/>
      <c r="OG19" s="171"/>
      <c r="OH19" s="171"/>
      <c r="OI19" s="171"/>
      <c r="OJ19" s="171"/>
      <c r="OK19" s="171"/>
      <c r="OL19" s="171"/>
      <c r="OM19" s="171"/>
      <c r="ON19" s="171"/>
      <c r="OO19" s="171"/>
      <c r="OP19" s="171"/>
      <c r="OQ19" s="171"/>
      <c r="OR19" s="171"/>
      <c r="OS19" s="171"/>
      <c r="OT19" s="171"/>
      <c r="OU19" s="171"/>
      <c r="OV19" s="171"/>
      <c r="OW19" s="171"/>
      <c r="OX19" s="171"/>
      <c r="OY19" s="171"/>
      <c r="OZ19" s="171"/>
      <c r="PA19" s="171"/>
      <c r="PB19" s="171"/>
      <c r="PC19" s="171"/>
      <c r="PD19" s="171"/>
      <c r="PE19" s="171"/>
      <c r="PF19" s="171"/>
      <c r="PG19" s="171"/>
      <c r="PH19" s="171"/>
      <c r="PI19" s="171"/>
      <c r="PJ19" s="171"/>
      <c r="PK19" s="171"/>
      <c r="PL19" s="171"/>
      <c r="PM19" s="171"/>
      <c r="PN19" s="171"/>
      <c r="PO19" s="171"/>
      <c r="PP19" s="171"/>
      <c r="PQ19" s="171"/>
      <c r="PR19" s="171"/>
      <c r="PS19" s="171"/>
      <c r="PT19" s="171"/>
      <c r="PU19" s="171"/>
      <c r="PV19" s="171"/>
      <c r="PW19" s="171"/>
      <c r="PX19" s="171"/>
      <c r="PY19" s="171"/>
      <c r="PZ19" s="171"/>
      <c r="QA19" s="171"/>
      <c r="QB19" s="171"/>
      <c r="QC19" s="171"/>
      <c r="QD19" s="171"/>
      <c r="QE19" s="171"/>
      <c r="QF19" s="171"/>
      <c r="QG19" s="171"/>
      <c r="QH19" s="171"/>
      <c r="QI19" s="171"/>
      <c r="QJ19" s="171"/>
      <c r="QK19" s="171"/>
      <c r="QL19" s="171"/>
      <c r="QM19" s="171"/>
      <c r="QN19" s="171"/>
      <c r="QO19" s="171"/>
      <c r="QP19" s="171"/>
      <c r="QQ19" s="171"/>
      <c r="QR19" s="171"/>
      <c r="QS19" s="171"/>
      <c r="QT19" s="171"/>
      <c r="QU19" s="171"/>
      <c r="QV19" s="171"/>
      <c r="QW19" s="171"/>
      <c r="QX19" s="171"/>
      <c r="QY19" s="171"/>
      <c r="QZ19" s="171"/>
      <c r="RA19" s="171"/>
      <c r="RB19" s="171"/>
      <c r="RC19" s="171"/>
      <c r="RD19" s="171"/>
      <c r="RE19" s="171"/>
      <c r="RF19" s="171"/>
      <c r="RG19" s="171"/>
      <c r="RH19" s="171"/>
      <c r="RI19" s="171"/>
      <c r="RJ19" s="171"/>
      <c r="RK19" s="171"/>
      <c r="RL19" s="171"/>
      <c r="RM19" s="171"/>
      <c r="RN19" s="171"/>
      <c r="RO19" s="171"/>
      <c r="RP19" s="171"/>
      <c r="RQ19" s="171"/>
      <c r="RR19" s="171"/>
      <c r="RS19" s="171"/>
      <c r="RT19" s="171"/>
      <c r="RU19" s="171"/>
      <c r="RV19" s="171"/>
      <c r="RW19" s="171"/>
      <c r="RX19" s="171"/>
      <c r="RY19" s="171"/>
      <c r="RZ19" s="171"/>
      <c r="SA19" s="171"/>
      <c r="SB19" s="171"/>
      <c r="SC19" s="171"/>
      <c r="SD19" s="171"/>
      <c r="SE19" s="171"/>
      <c r="SF19" s="171"/>
      <c r="SG19" s="171"/>
      <c r="SH19" s="171"/>
      <c r="SI19" s="171"/>
      <c r="SJ19" s="171"/>
      <c r="SK19" s="171"/>
      <c r="SL19" s="171"/>
      <c r="SM19" s="171"/>
      <c r="SN19" s="171"/>
      <c r="SO19" s="171"/>
      <c r="SP19" s="171"/>
      <c r="SQ19" s="171"/>
      <c r="SR19" s="171"/>
      <c r="SS19" s="171"/>
      <c r="ST19" s="171"/>
      <c r="SU19" s="171"/>
      <c r="SV19" s="171"/>
      <c r="SW19" s="171"/>
      <c r="SX19" s="171"/>
      <c r="SY19" s="171"/>
      <c r="SZ19" s="171"/>
      <c r="TA19" s="171"/>
      <c r="TB19" s="171"/>
      <c r="TC19" s="171"/>
      <c r="TD19" s="171"/>
      <c r="TE19" s="171"/>
      <c r="TF19" s="171"/>
      <c r="TG19" s="171"/>
      <c r="TH19" s="171"/>
      <c r="TI19" s="171"/>
      <c r="TJ19" s="171"/>
      <c r="TK19" s="171"/>
      <c r="TL19" s="171"/>
      <c r="TM19" s="171"/>
      <c r="TN19" s="171"/>
      <c r="TO19" s="171"/>
      <c r="TP19" s="171"/>
      <c r="TQ19" s="171"/>
      <c r="TR19" s="171"/>
      <c r="TS19" s="171"/>
      <c r="TT19" s="171"/>
      <c r="TU19" s="171"/>
      <c r="TV19" s="171"/>
      <c r="TW19" s="171"/>
      <c r="TX19" s="171"/>
      <c r="TY19" s="171"/>
      <c r="TZ19" s="171"/>
      <c r="UA19" s="171"/>
      <c r="UB19" s="171"/>
      <c r="UC19" s="171"/>
      <c r="UD19" s="171"/>
      <c r="UE19" s="171"/>
      <c r="UF19" s="171"/>
      <c r="UG19" s="171"/>
      <c r="UH19" s="171"/>
      <c r="UI19" s="171"/>
      <c r="UJ19" s="171"/>
      <c r="UK19" s="171"/>
      <c r="UL19" s="171"/>
      <c r="UM19" s="171"/>
      <c r="UN19" s="171"/>
      <c r="UO19" s="171"/>
      <c r="UP19" s="171"/>
      <c r="UQ19" s="171"/>
      <c r="UR19" s="171"/>
      <c r="US19" s="171"/>
      <c r="UT19" s="171"/>
      <c r="UU19" s="171"/>
      <c r="UV19" s="171"/>
      <c r="UW19" s="171"/>
      <c r="UX19" s="171"/>
      <c r="UY19" s="171"/>
      <c r="UZ19" s="171"/>
      <c r="VA19" s="171"/>
      <c r="VB19" s="171"/>
      <c r="VC19" s="171"/>
      <c r="VD19" s="171"/>
      <c r="VE19" s="171"/>
      <c r="VF19" s="171"/>
      <c r="VG19" s="171"/>
      <c r="VH19" s="171"/>
      <c r="VI19" s="171"/>
      <c r="VJ19" s="171"/>
      <c r="VK19" s="171"/>
      <c r="VL19" s="171"/>
      <c r="VM19" s="171"/>
      <c r="VN19" s="171"/>
      <c r="VO19" s="171"/>
      <c r="VP19" s="171"/>
      <c r="VQ19" s="171"/>
      <c r="VR19" s="171"/>
      <c r="VS19" s="171"/>
      <c r="VT19" s="171"/>
      <c r="VU19" s="171"/>
      <c r="VV19" s="171"/>
      <c r="VW19" s="171"/>
      <c r="VX19" s="171"/>
      <c r="VY19" s="171"/>
      <c r="VZ19" s="171"/>
      <c r="WA19" s="171"/>
      <c r="WB19" s="171"/>
      <c r="WC19" s="171"/>
      <c r="WD19" s="171"/>
      <c r="WE19" s="171"/>
      <c r="WF19" s="171"/>
      <c r="WG19" s="171"/>
      <c r="WH19" s="171"/>
      <c r="WI19" s="171"/>
      <c r="WJ19" s="171"/>
      <c r="WK19" s="171"/>
      <c r="WL19" s="171"/>
      <c r="WM19" s="171"/>
      <c r="WN19" s="171"/>
      <c r="WO19" s="171"/>
      <c r="WP19" s="171"/>
      <c r="WQ19" s="171"/>
      <c r="WR19" s="171"/>
      <c r="WS19" s="171"/>
      <c r="WT19" s="171"/>
      <c r="WU19" s="171"/>
      <c r="WV19" s="171"/>
      <c r="WW19" s="171"/>
      <c r="WX19" s="171"/>
      <c r="WY19" s="171"/>
      <c r="WZ19" s="171"/>
      <c r="XA19" s="171"/>
      <c r="XB19" s="171"/>
      <c r="XC19" s="171"/>
      <c r="XD19" s="171"/>
      <c r="XE19" s="171"/>
      <c r="XF19" s="171"/>
      <c r="XG19" s="171"/>
      <c r="XH19" s="171"/>
      <c r="XI19" s="171"/>
      <c r="XJ19" s="171"/>
      <c r="XK19" s="171"/>
      <c r="XL19" s="171"/>
      <c r="XM19" s="171"/>
      <c r="XN19" s="171"/>
      <c r="XO19" s="171"/>
      <c r="XP19" s="171"/>
      <c r="XQ19" s="171"/>
      <c r="XR19" s="171"/>
      <c r="XS19" s="171"/>
      <c r="XT19" s="171"/>
      <c r="XU19" s="171"/>
      <c r="XV19" s="171"/>
      <c r="XW19" s="171"/>
      <c r="XX19" s="171"/>
      <c r="XY19" s="171"/>
      <c r="XZ19" s="171"/>
      <c r="YA19" s="171"/>
      <c r="YB19" s="171"/>
      <c r="YC19" s="171"/>
      <c r="YD19" s="171"/>
      <c r="YE19" s="171"/>
      <c r="YF19" s="171"/>
      <c r="YG19" s="171"/>
      <c r="YH19" s="171"/>
      <c r="YI19" s="171"/>
      <c r="YJ19" s="171"/>
      <c r="YK19" s="171"/>
      <c r="YL19" s="171"/>
      <c r="YM19" s="171"/>
      <c r="YN19" s="171"/>
      <c r="YO19" s="171"/>
      <c r="YP19" s="171"/>
      <c r="YQ19" s="171"/>
      <c r="YR19" s="171"/>
      <c r="YS19" s="171"/>
      <c r="YT19" s="171"/>
      <c r="YU19" s="171"/>
      <c r="YV19" s="171"/>
      <c r="YW19" s="171"/>
      <c r="YX19" s="171"/>
      <c r="YY19" s="171"/>
      <c r="YZ19" s="171"/>
      <c r="ZA19" s="171"/>
      <c r="ZB19" s="171"/>
      <c r="ZC19" s="171"/>
      <c r="ZD19" s="171"/>
      <c r="ZE19" s="171"/>
      <c r="ZF19" s="171"/>
      <c r="ZG19" s="171"/>
      <c r="ZH19" s="171"/>
      <c r="ZI19" s="171"/>
      <c r="ZJ19" s="171"/>
      <c r="ZK19" s="171"/>
      <c r="ZL19" s="171"/>
      <c r="ZM19" s="171"/>
      <c r="ZN19" s="171"/>
      <c r="ZO19" s="171"/>
      <c r="ZP19" s="171"/>
      <c r="ZQ19" s="171"/>
      <c r="ZR19" s="171"/>
      <c r="ZS19" s="171"/>
      <c r="ZT19" s="171"/>
      <c r="ZU19" s="171"/>
      <c r="ZV19" s="171"/>
      <c r="ZW19" s="171"/>
      <c r="ZX19" s="171"/>
      <c r="ZY19" s="171"/>
      <c r="ZZ19" s="171"/>
      <c r="AAA19" s="171"/>
      <c r="AAB19" s="171"/>
      <c r="AAC19" s="171"/>
      <c r="AAD19" s="171"/>
      <c r="AAE19" s="171"/>
      <c r="AAF19" s="171"/>
      <c r="AAG19" s="171"/>
      <c r="AAH19" s="171"/>
      <c r="AAI19" s="171"/>
      <c r="AAJ19" s="171"/>
      <c r="AAK19" s="171"/>
      <c r="AAL19" s="171"/>
      <c r="AAM19" s="171"/>
      <c r="AAN19" s="171"/>
      <c r="AAO19" s="171"/>
      <c r="AAP19" s="171"/>
      <c r="AAQ19" s="171"/>
      <c r="AAR19" s="171"/>
      <c r="AAS19" s="171"/>
      <c r="AAT19" s="171"/>
      <c r="AAU19" s="171"/>
      <c r="AAV19" s="171"/>
      <c r="AAW19" s="171"/>
      <c r="AAX19" s="171"/>
      <c r="AAY19" s="171"/>
      <c r="AAZ19" s="171"/>
      <c r="ABA19" s="171"/>
      <c r="ABB19" s="171"/>
      <c r="ABC19" s="171"/>
      <c r="ABD19" s="171"/>
      <c r="ABE19" s="171"/>
      <c r="ABF19" s="171"/>
      <c r="ABG19" s="171"/>
      <c r="ABH19" s="171"/>
      <c r="ABI19" s="171"/>
      <c r="ABJ19" s="171"/>
      <c r="ABK19" s="171"/>
      <c r="ABL19" s="171"/>
      <c r="ABM19" s="171"/>
      <c r="ABN19" s="171"/>
      <c r="ABO19" s="171"/>
      <c r="ABP19" s="171"/>
      <c r="ABQ19" s="171"/>
      <c r="ABR19" s="171"/>
      <c r="ABS19" s="171"/>
      <c r="ABT19" s="171"/>
      <c r="ABU19" s="171"/>
      <c r="ABV19" s="171"/>
      <c r="ABW19" s="171"/>
      <c r="ABX19" s="171"/>
      <c r="ABY19" s="171"/>
      <c r="ABZ19" s="171"/>
      <c r="ACA19" s="171"/>
      <c r="ACB19" s="171"/>
      <c r="ACC19" s="171"/>
      <c r="ACD19" s="171"/>
      <c r="ACE19" s="171"/>
      <c r="ACF19" s="171"/>
      <c r="ACG19" s="171"/>
      <c r="ACH19" s="171"/>
      <c r="ACI19" s="171"/>
      <c r="ACJ19" s="171"/>
      <c r="ACK19" s="171"/>
      <c r="ACL19" s="171"/>
      <c r="ACM19" s="171"/>
      <c r="ACN19" s="171"/>
      <c r="ACO19" s="171"/>
      <c r="ACP19" s="171"/>
      <c r="ACQ19" s="171"/>
      <c r="ACR19" s="171"/>
      <c r="ACS19" s="171"/>
      <c r="ACT19" s="171"/>
      <c r="ACU19" s="171"/>
      <c r="ACV19" s="171"/>
      <c r="ACW19" s="171"/>
      <c r="ACX19" s="171"/>
      <c r="ACY19" s="171"/>
      <c r="ACZ19" s="171"/>
      <c r="ADA19" s="171"/>
      <c r="ADB19" s="171"/>
      <c r="ADC19" s="171"/>
      <c r="ADD19" s="171"/>
      <c r="ADE19" s="171"/>
      <c r="ADF19" s="171"/>
      <c r="ADG19" s="171"/>
      <c r="ADH19" s="171"/>
      <c r="ADI19" s="171"/>
      <c r="ADJ19" s="171"/>
      <c r="ADK19" s="171"/>
      <c r="ADL19" s="171"/>
      <c r="ADM19" s="171"/>
      <c r="ADN19" s="171"/>
      <c r="ADO19" s="171"/>
      <c r="ADP19" s="171"/>
      <c r="ADQ19" s="171"/>
      <c r="ADR19" s="171"/>
      <c r="ADS19" s="171"/>
      <c r="ADT19" s="171"/>
      <c r="ADU19" s="171"/>
      <c r="ADV19" s="171"/>
      <c r="ADW19" s="171"/>
      <c r="ADX19" s="171"/>
      <c r="ADY19" s="171"/>
      <c r="ADZ19" s="171"/>
      <c r="AEA19" s="171"/>
      <c r="AEB19" s="171"/>
      <c r="AEC19" s="171"/>
      <c r="AED19" s="171"/>
      <c r="AEE19" s="171"/>
      <c r="AEF19" s="171"/>
      <c r="AEG19" s="171"/>
      <c r="AEH19" s="171"/>
      <c r="AEI19" s="171"/>
      <c r="AEJ19" s="171"/>
      <c r="AEK19" s="171"/>
      <c r="AEL19" s="171"/>
      <c r="AEM19" s="171"/>
      <c r="AEN19" s="171"/>
      <c r="AEO19" s="171"/>
      <c r="AEP19" s="171"/>
      <c r="AEQ19" s="171"/>
      <c r="AER19" s="171"/>
      <c r="AES19" s="171"/>
      <c r="AET19" s="171"/>
      <c r="AEU19" s="171"/>
      <c r="AEV19" s="171"/>
      <c r="AEW19" s="171"/>
      <c r="AEX19" s="171"/>
      <c r="AEY19" s="171"/>
      <c r="AEZ19" s="171"/>
      <c r="AFA19" s="171"/>
      <c r="AFB19" s="171"/>
      <c r="AFC19" s="171"/>
      <c r="AFD19" s="171"/>
      <c r="AFE19" s="171"/>
      <c r="AFF19" s="171"/>
      <c r="AFG19" s="171"/>
      <c r="AFH19" s="171"/>
      <c r="AFI19" s="171"/>
      <c r="AFJ19" s="171"/>
      <c r="AFK19" s="171"/>
      <c r="AFL19" s="171"/>
      <c r="AFM19" s="171"/>
      <c r="AFN19" s="171"/>
      <c r="AFO19" s="171"/>
      <c r="AFP19" s="171"/>
      <c r="AFQ19" s="171"/>
      <c r="AFR19" s="171"/>
      <c r="AFS19" s="171"/>
      <c r="AFT19" s="171"/>
      <c r="AFU19" s="171"/>
      <c r="AFV19" s="171"/>
      <c r="AFW19" s="171"/>
      <c r="AFX19" s="171"/>
      <c r="AFY19" s="171"/>
      <c r="AFZ19" s="171"/>
      <c r="AGA19" s="171"/>
      <c r="AGB19" s="171"/>
      <c r="AGC19" s="171"/>
      <c r="AGD19" s="171"/>
      <c r="AGE19" s="171"/>
      <c r="AGF19" s="171"/>
      <c r="AGG19" s="171"/>
      <c r="AGH19" s="171"/>
      <c r="AGI19" s="171"/>
      <c r="AGJ19" s="171"/>
      <c r="AGK19" s="171"/>
      <c r="AGL19" s="171"/>
      <c r="AGM19" s="171"/>
      <c r="AGN19" s="171"/>
      <c r="AGO19" s="171"/>
      <c r="AGP19" s="171"/>
      <c r="AGQ19" s="171"/>
      <c r="AGR19" s="171"/>
      <c r="AGS19" s="171"/>
      <c r="AGT19" s="171"/>
      <c r="AGU19" s="171"/>
      <c r="AGV19" s="171"/>
      <c r="AGW19" s="171"/>
      <c r="AGX19" s="171"/>
      <c r="AGY19" s="171"/>
      <c r="AGZ19" s="171"/>
      <c r="AHA19" s="171"/>
      <c r="AHB19" s="171"/>
      <c r="AHC19" s="171"/>
      <c r="AHD19" s="171"/>
      <c r="AHE19" s="171"/>
      <c r="AHF19" s="171"/>
      <c r="AHG19" s="171"/>
      <c r="AHH19" s="171"/>
      <c r="AHI19" s="171"/>
      <c r="AHJ19" s="171"/>
      <c r="AHK19" s="171"/>
      <c r="AHL19" s="171"/>
      <c r="AHM19" s="171"/>
      <c r="AHN19" s="171"/>
      <c r="AHO19" s="171"/>
      <c r="AHP19" s="171"/>
      <c r="AHQ19" s="171"/>
      <c r="AHR19" s="171"/>
      <c r="AHS19" s="171"/>
      <c r="AHT19" s="171"/>
      <c r="AHU19" s="171"/>
      <c r="AHV19" s="171"/>
      <c r="AHW19" s="171"/>
      <c r="AHX19" s="171"/>
      <c r="AHY19" s="171"/>
      <c r="AHZ19" s="171"/>
      <c r="AIA19" s="171"/>
      <c r="AIB19" s="171"/>
      <c r="AIC19" s="171"/>
      <c r="AID19" s="171"/>
      <c r="AIE19" s="171"/>
      <c r="AIF19" s="171"/>
      <c r="AIG19" s="171"/>
      <c r="AIH19" s="171"/>
      <c r="AII19" s="171"/>
      <c r="AIJ19" s="171"/>
      <c r="AIK19" s="171"/>
      <c r="AIL19" s="171"/>
      <c r="AIM19" s="171"/>
      <c r="AIN19" s="171"/>
      <c r="AIO19" s="171"/>
      <c r="AIP19" s="171"/>
      <c r="AIQ19" s="171"/>
      <c r="AIR19" s="171"/>
      <c r="AIS19" s="171"/>
      <c r="AIT19" s="171"/>
      <c r="AIU19" s="171"/>
      <c r="AIV19" s="171"/>
      <c r="AIW19" s="171"/>
      <c r="AIX19" s="171"/>
      <c r="AIY19" s="171"/>
      <c r="AIZ19" s="171"/>
      <c r="AJA19" s="171"/>
      <c r="AJB19" s="171"/>
      <c r="AJC19" s="171"/>
      <c r="AJD19" s="171"/>
      <c r="AJE19" s="171"/>
      <c r="AJF19" s="171"/>
      <c r="AJG19" s="171"/>
      <c r="AJH19" s="171"/>
      <c r="AJI19" s="171"/>
      <c r="AJJ19" s="171"/>
      <c r="AJK19" s="171"/>
      <c r="AJL19" s="171"/>
      <c r="AJM19" s="171"/>
      <c r="AJN19" s="171"/>
      <c r="AJO19" s="171"/>
      <c r="AJP19" s="171"/>
      <c r="AJQ19" s="171"/>
      <c r="AJR19" s="171"/>
      <c r="AJS19" s="171"/>
      <c r="AJT19" s="171"/>
      <c r="AJU19" s="171"/>
      <c r="AJV19" s="171"/>
      <c r="AJW19" s="171"/>
      <c r="AJX19" s="171"/>
      <c r="AJY19" s="171"/>
      <c r="AJZ19" s="171"/>
      <c r="AKA19" s="171"/>
      <c r="AKB19" s="171"/>
      <c r="AKC19" s="171"/>
      <c r="AKD19" s="171"/>
      <c r="AKE19" s="171"/>
      <c r="AKF19" s="171"/>
      <c r="AKG19" s="171"/>
      <c r="AKH19" s="171"/>
      <c r="AKI19" s="171"/>
      <c r="AKJ19" s="171"/>
      <c r="AKK19" s="171"/>
      <c r="AKL19" s="171"/>
      <c r="AKM19" s="171"/>
      <c r="AKN19" s="171"/>
      <c r="AKO19" s="171"/>
      <c r="AKP19" s="171"/>
      <c r="AKQ19" s="171"/>
      <c r="AKR19" s="171"/>
      <c r="AKS19" s="171"/>
      <c r="AKT19" s="171"/>
      <c r="AKU19" s="171"/>
      <c r="AKV19" s="171"/>
      <c r="AKW19" s="171"/>
      <c r="AKX19" s="171"/>
      <c r="AKY19" s="171"/>
      <c r="AKZ19" s="171"/>
      <c r="ALA19" s="171"/>
      <c r="ALB19" s="171"/>
      <c r="ALC19" s="171"/>
      <c r="ALD19" s="171"/>
      <c r="ALE19" s="171"/>
      <c r="ALF19" s="171"/>
      <c r="ALG19" s="171"/>
      <c r="ALH19" s="171"/>
      <c r="ALI19" s="171"/>
      <c r="ALJ19" s="171"/>
      <c r="ALK19" s="171"/>
      <c r="ALL19" s="171"/>
      <c r="ALM19" s="171"/>
      <c r="ALN19" s="171"/>
      <c r="ALO19" s="171"/>
      <c r="ALP19" s="171"/>
      <c r="ALQ19" s="171"/>
      <c r="ALR19" s="171"/>
      <c r="ALS19" s="171"/>
      <c r="ALT19" s="171"/>
      <c r="ALU19" s="171"/>
      <c r="ALV19" s="171"/>
      <c r="ALW19" s="171"/>
      <c r="ALX19" s="171"/>
      <c r="ALY19" s="171"/>
      <c r="ALZ19" s="171"/>
      <c r="AMA19" s="171"/>
      <c r="AMB19" s="171"/>
      <c r="AMC19" s="171"/>
      <c r="AMD19" s="171"/>
      <c r="AME19" s="171"/>
      <c r="AMF19" s="171"/>
      <c r="AMG19" s="171"/>
      <c r="AMH19" s="171"/>
      <c r="AMI19" s="171"/>
      <c r="AMJ19" s="171"/>
      <c r="AMK19" s="171"/>
      <c r="AML19" s="171"/>
      <c r="AMM19" s="171"/>
      <c r="AMN19" s="171"/>
      <c r="AMO19" s="171"/>
      <c r="AMP19" s="171"/>
      <c r="AMQ19" s="171"/>
      <c r="AMR19" s="171"/>
      <c r="AMS19" s="171"/>
      <c r="AMT19" s="171"/>
      <c r="AMU19" s="171"/>
      <c r="AMV19" s="171"/>
      <c r="AMW19" s="171"/>
      <c r="AMX19" s="171"/>
      <c r="AMY19" s="171"/>
      <c r="AMZ19" s="171"/>
      <c r="ANA19" s="171"/>
      <c r="ANB19" s="171"/>
      <c r="ANC19" s="171"/>
      <c r="AND19" s="171"/>
      <c r="ANE19" s="171"/>
      <c r="ANF19" s="171"/>
      <c r="ANG19" s="171"/>
      <c r="ANH19" s="171"/>
      <c r="ANI19" s="171"/>
      <c r="ANJ19" s="171"/>
      <c r="ANK19" s="171"/>
      <c r="ANL19" s="171"/>
      <c r="ANM19" s="171"/>
      <c r="ANN19" s="171"/>
      <c r="ANO19" s="171"/>
      <c r="ANP19" s="171"/>
      <c r="ANQ19" s="171"/>
      <c r="ANR19" s="171"/>
      <c r="ANS19" s="171"/>
      <c r="ANT19" s="171"/>
      <c r="ANU19" s="171"/>
      <c r="ANV19" s="171"/>
      <c r="ANW19" s="171"/>
      <c r="ANX19" s="171"/>
      <c r="ANY19" s="171"/>
      <c r="ANZ19" s="171"/>
      <c r="AOA19" s="171"/>
      <c r="AOB19" s="171"/>
      <c r="AOC19" s="171"/>
      <c r="AOD19" s="171"/>
      <c r="AOE19" s="171"/>
      <c r="AOF19" s="171"/>
      <c r="AOG19" s="171"/>
      <c r="AOH19" s="171"/>
      <c r="AOI19" s="171"/>
      <c r="AOJ19" s="171"/>
      <c r="AOK19" s="171"/>
      <c r="AOL19" s="171"/>
      <c r="AOM19" s="171"/>
      <c r="AON19" s="171"/>
      <c r="AOO19" s="171"/>
      <c r="AOP19" s="171"/>
      <c r="AOQ19" s="171"/>
      <c r="AOR19" s="171"/>
      <c r="AOS19" s="171"/>
      <c r="AOT19" s="171"/>
      <c r="AOU19" s="171"/>
      <c r="AOV19" s="171"/>
      <c r="AOW19" s="171"/>
      <c r="AOX19" s="171"/>
      <c r="AOY19" s="171"/>
      <c r="AOZ19" s="171"/>
      <c r="APA19" s="171"/>
      <c r="APB19" s="171"/>
      <c r="APC19" s="171"/>
      <c r="APD19" s="171"/>
      <c r="APE19" s="171"/>
      <c r="APF19" s="171"/>
      <c r="APG19" s="171"/>
      <c r="APH19" s="171"/>
      <c r="API19" s="171"/>
      <c r="APJ19" s="171"/>
      <c r="APK19" s="171"/>
      <c r="APL19" s="171"/>
      <c r="APM19" s="171"/>
      <c r="APN19" s="171"/>
      <c r="APO19" s="171"/>
      <c r="APP19" s="171"/>
      <c r="APQ19" s="171"/>
      <c r="APR19" s="171"/>
      <c r="APS19" s="171"/>
      <c r="APT19" s="171"/>
      <c r="APU19" s="171"/>
      <c r="APV19" s="171"/>
      <c r="APW19" s="171"/>
      <c r="APX19" s="171"/>
      <c r="APY19" s="171"/>
      <c r="APZ19" s="171"/>
      <c r="AQA19" s="171"/>
      <c r="AQB19" s="171"/>
      <c r="AQC19" s="171"/>
      <c r="AQD19" s="171"/>
      <c r="AQE19" s="171"/>
      <c r="AQF19" s="171"/>
      <c r="AQG19" s="171"/>
      <c r="AQH19" s="171"/>
      <c r="AQI19" s="171"/>
      <c r="AQJ19" s="171"/>
      <c r="AQK19" s="171"/>
      <c r="AQL19" s="171"/>
      <c r="AQM19" s="171"/>
      <c r="AQN19" s="171"/>
      <c r="AQO19" s="171"/>
      <c r="AQP19" s="171"/>
      <c r="AQQ19" s="171"/>
      <c r="AQR19" s="171"/>
      <c r="AQS19" s="171"/>
      <c r="AQT19" s="171"/>
      <c r="AQU19" s="171"/>
      <c r="AQV19" s="171"/>
      <c r="AQW19" s="171"/>
      <c r="AQX19" s="171"/>
      <c r="AQY19" s="171"/>
      <c r="AQZ19" s="171"/>
      <c r="ARA19" s="171"/>
      <c r="ARB19" s="171"/>
      <c r="ARC19" s="171"/>
      <c r="ARD19" s="171"/>
      <c r="ARE19" s="171"/>
      <c r="ARF19" s="171"/>
      <c r="ARG19" s="171"/>
      <c r="ARH19" s="171"/>
      <c r="ARI19" s="171"/>
      <c r="ARJ19" s="171"/>
      <c r="ARK19" s="171"/>
      <c r="ARL19" s="171"/>
      <c r="ARM19" s="171"/>
      <c r="ARN19" s="171"/>
      <c r="ARO19" s="171"/>
      <c r="ARP19" s="171"/>
      <c r="ARQ19" s="171"/>
      <c r="ARR19" s="171"/>
      <c r="ARS19" s="171"/>
      <c r="ART19" s="171"/>
      <c r="ARU19" s="171"/>
      <c r="ARV19" s="171"/>
      <c r="ARW19" s="171"/>
      <c r="ARX19" s="171"/>
      <c r="ARY19" s="171"/>
      <c r="ARZ19" s="171"/>
      <c r="ASA19" s="171"/>
      <c r="ASB19" s="171"/>
      <c r="ASC19" s="171"/>
      <c r="ASD19" s="171"/>
      <c r="ASE19" s="171"/>
      <c r="ASF19" s="171"/>
      <c r="ASG19" s="171"/>
      <c r="ASH19" s="171"/>
      <c r="ASI19" s="171"/>
      <c r="ASJ19" s="171"/>
      <c r="ASK19" s="171"/>
      <c r="ASL19" s="171"/>
      <c r="ASM19" s="171"/>
      <c r="ASN19" s="171"/>
      <c r="ASO19" s="171"/>
      <c r="ASP19" s="171"/>
      <c r="ASQ19" s="171"/>
      <c r="ASR19" s="171"/>
      <c r="ASS19" s="171"/>
      <c r="AST19" s="171"/>
      <c r="ASU19" s="171"/>
      <c r="ASV19" s="171"/>
      <c r="ASW19" s="171"/>
      <c r="ASX19" s="171"/>
      <c r="ASY19" s="171"/>
      <c r="ASZ19" s="171"/>
      <c r="ATA19" s="171"/>
      <c r="ATB19" s="171"/>
      <c r="ATC19" s="171"/>
      <c r="ATD19" s="171"/>
      <c r="ATE19" s="171"/>
      <c r="ATF19" s="171"/>
      <c r="ATG19" s="171"/>
      <c r="ATH19" s="171"/>
      <c r="ATI19" s="171"/>
      <c r="ATJ19" s="171"/>
      <c r="ATK19" s="171"/>
      <c r="ATL19" s="171"/>
      <c r="ATM19" s="171"/>
      <c r="ATN19" s="171"/>
      <c r="ATO19" s="171"/>
      <c r="ATP19" s="171"/>
      <c r="ATQ19" s="171"/>
      <c r="ATR19" s="171"/>
      <c r="ATS19" s="171"/>
      <c r="ATT19" s="171"/>
      <c r="ATU19" s="171"/>
      <c r="ATV19" s="171"/>
      <c r="ATW19" s="171"/>
      <c r="ATX19" s="171"/>
      <c r="ATY19" s="171"/>
      <c r="ATZ19" s="171"/>
      <c r="AUA19" s="171"/>
      <c r="AUB19" s="171"/>
      <c r="AUC19" s="171"/>
      <c r="AUD19" s="171"/>
      <c r="AUE19" s="171"/>
      <c r="AUF19" s="171"/>
      <c r="AUG19" s="171"/>
      <c r="AUH19" s="171"/>
      <c r="AUI19" s="171"/>
      <c r="AUJ19" s="171"/>
      <c r="AUK19" s="171"/>
      <c r="AUL19" s="171"/>
      <c r="AUM19" s="171"/>
      <c r="AUN19" s="171"/>
      <c r="AUO19" s="171"/>
      <c r="AUP19" s="171"/>
      <c r="AUQ19" s="171"/>
      <c r="AUR19" s="171"/>
      <c r="AUS19" s="171"/>
      <c r="AUT19" s="171"/>
      <c r="AUU19" s="171"/>
      <c r="AUV19" s="171"/>
      <c r="AUW19" s="171"/>
      <c r="AUX19" s="171"/>
      <c r="AUY19" s="171"/>
      <c r="AUZ19" s="171"/>
      <c r="AVA19" s="171"/>
      <c r="AVB19" s="171"/>
      <c r="AVC19" s="171"/>
      <c r="AVD19" s="171"/>
      <c r="AVE19" s="171"/>
      <c r="AVF19" s="171"/>
      <c r="AVG19" s="171"/>
      <c r="AVH19" s="171"/>
      <c r="AVI19" s="171"/>
      <c r="AVJ19" s="171"/>
      <c r="AVK19" s="171"/>
      <c r="AVL19" s="171"/>
      <c r="AVM19" s="171"/>
      <c r="AVN19" s="171"/>
      <c r="AVO19" s="171"/>
      <c r="AVP19" s="171"/>
      <c r="AVQ19" s="171"/>
      <c r="AVR19" s="171"/>
      <c r="AVS19" s="171"/>
      <c r="AVT19" s="171"/>
      <c r="AVU19" s="171"/>
      <c r="AVV19" s="171"/>
      <c r="AVW19" s="171"/>
      <c r="AVX19" s="171"/>
      <c r="AVY19" s="171"/>
      <c r="AVZ19" s="171"/>
      <c r="AWA19" s="171"/>
      <c r="AWB19" s="171"/>
      <c r="AWC19" s="171"/>
      <c r="AWD19" s="171"/>
      <c r="AWE19" s="171"/>
      <c r="AWF19" s="171"/>
      <c r="AWG19" s="171"/>
      <c r="AWH19" s="171"/>
      <c r="AWI19" s="171"/>
      <c r="AWJ19" s="171"/>
      <c r="AWK19" s="171"/>
      <c r="AWL19" s="171"/>
      <c r="AWM19" s="171"/>
      <c r="AWN19" s="171"/>
      <c r="AWO19" s="171"/>
      <c r="AWP19" s="171"/>
      <c r="AWQ19" s="171"/>
      <c r="AWR19" s="171"/>
      <c r="AWS19" s="171"/>
      <c r="AWT19" s="171"/>
      <c r="AWU19" s="171"/>
      <c r="AWV19" s="171"/>
      <c r="AWW19" s="171"/>
      <c r="AWX19" s="171"/>
      <c r="AWY19" s="171"/>
      <c r="AWZ19" s="171"/>
      <c r="AXA19" s="171"/>
      <c r="AXB19" s="171"/>
      <c r="AXC19" s="171"/>
      <c r="AXD19" s="171"/>
      <c r="AXE19" s="171"/>
      <c r="AXF19" s="171"/>
      <c r="AXG19" s="171"/>
      <c r="AXH19" s="171"/>
      <c r="AXI19" s="171"/>
      <c r="AXJ19" s="171"/>
      <c r="AXK19" s="171"/>
      <c r="AXL19" s="171"/>
      <c r="AXM19" s="171"/>
      <c r="AXN19" s="171"/>
      <c r="AXO19" s="171"/>
      <c r="AXP19" s="171"/>
      <c r="AXQ19" s="171"/>
      <c r="AXR19" s="171"/>
      <c r="AXS19" s="171"/>
      <c r="AXT19" s="171"/>
      <c r="AXU19" s="171"/>
      <c r="AXV19" s="171"/>
      <c r="AXW19" s="171"/>
      <c r="AXX19" s="171"/>
      <c r="AXY19" s="171"/>
      <c r="AXZ19" s="171"/>
      <c r="AYA19" s="171"/>
      <c r="AYB19" s="171"/>
      <c r="AYC19" s="171"/>
      <c r="AYD19" s="171"/>
      <c r="AYE19" s="171"/>
      <c r="AYF19" s="171"/>
      <c r="AYG19" s="171"/>
      <c r="AYH19" s="171"/>
      <c r="AYI19" s="171"/>
      <c r="AYJ19" s="171"/>
      <c r="AYK19" s="171"/>
      <c r="AYL19" s="171"/>
      <c r="AYM19" s="171"/>
      <c r="AYN19" s="171"/>
      <c r="AYO19" s="171"/>
      <c r="AYP19" s="171"/>
      <c r="AYQ19" s="171"/>
      <c r="AYR19" s="171"/>
      <c r="AYS19" s="171"/>
      <c r="AYT19" s="171"/>
      <c r="AYU19" s="171"/>
      <c r="AYV19" s="171"/>
      <c r="AYW19" s="171"/>
      <c r="AYX19" s="171"/>
      <c r="AYY19" s="171"/>
      <c r="AYZ19" s="171"/>
      <c r="AZA19" s="171"/>
      <c r="AZB19" s="171"/>
      <c r="AZC19" s="171"/>
      <c r="AZD19" s="171"/>
      <c r="AZE19" s="171"/>
      <c r="AZF19" s="171"/>
      <c r="AZG19" s="171"/>
      <c r="AZH19" s="171"/>
      <c r="AZI19" s="171"/>
      <c r="AZJ19" s="171"/>
      <c r="AZK19" s="171"/>
      <c r="AZL19" s="171"/>
      <c r="AZM19" s="171"/>
      <c r="AZN19" s="171"/>
      <c r="AZO19" s="171"/>
      <c r="AZP19" s="171"/>
      <c r="AZQ19" s="171"/>
      <c r="AZR19" s="171"/>
      <c r="AZS19" s="171"/>
      <c r="AZT19" s="171"/>
      <c r="AZU19" s="171"/>
      <c r="AZV19" s="171"/>
      <c r="AZW19" s="171"/>
      <c r="AZX19" s="171"/>
      <c r="AZY19" s="171"/>
      <c r="AZZ19" s="171"/>
      <c r="BAA19" s="171"/>
      <c r="BAB19" s="171"/>
      <c r="BAC19" s="171"/>
      <c r="BAD19" s="171"/>
      <c r="BAE19" s="171"/>
      <c r="BAF19" s="171"/>
      <c r="BAG19" s="171"/>
      <c r="BAH19" s="171"/>
      <c r="BAI19" s="171"/>
      <c r="BAJ19" s="171"/>
      <c r="BAK19" s="171"/>
      <c r="BAL19" s="171"/>
      <c r="BAM19" s="171"/>
      <c r="BAN19" s="171"/>
      <c r="BAO19" s="171"/>
      <c r="BAP19" s="171"/>
      <c r="BAQ19" s="171"/>
      <c r="BAR19" s="171"/>
      <c r="BAS19" s="171"/>
      <c r="BAT19" s="171"/>
      <c r="BAU19" s="171"/>
      <c r="BAV19" s="171"/>
      <c r="BAW19" s="171"/>
      <c r="BAX19" s="171"/>
      <c r="BAY19" s="171"/>
      <c r="BAZ19" s="171"/>
      <c r="BBA19" s="171"/>
      <c r="BBB19" s="171"/>
      <c r="BBC19" s="171"/>
      <c r="BBD19" s="171"/>
      <c r="BBE19" s="171"/>
      <c r="BBF19" s="171"/>
      <c r="BBG19" s="171"/>
      <c r="BBH19" s="171"/>
      <c r="BBI19" s="171"/>
      <c r="BBJ19" s="171"/>
      <c r="BBK19" s="171"/>
      <c r="BBL19" s="171"/>
      <c r="BBM19" s="171"/>
      <c r="BBN19" s="171"/>
      <c r="BBO19" s="171"/>
      <c r="BBP19" s="171"/>
      <c r="BBQ19" s="171"/>
      <c r="BBR19" s="171"/>
      <c r="BBS19" s="171"/>
      <c r="BBT19" s="171"/>
      <c r="BBU19" s="171"/>
      <c r="BBV19" s="171"/>
      <c r="BBW19" s="171"/>
      <c r="BBX19" s="171"/>
      <c r="BBY19" s="171"/>
      <c r="BBZ19" s="171"/>
      <c r="BCA19" s="171"/>
      <c r="BCB19" s="171"/>
      <c r="BCC19" s="171"/>
      <c r="BCD19" s="171"/>
      <c r="BCE19" s="171"/>
      <c r="BCF19" s="171"/>
      <c r="BCG19" s="171"/>
      <c r="BCH19" s="171"/>
      <c r="BCI19" s="171"/>
      <c r="BCJ19" s="171"/>
      <c r="BCK19" s="171"/>
      <c r="BCL19" s="171"/>
      <c r="BCM19" s="171"/>
      <c r="BCN19" s="171"/>
      <c r="BCO19" s="171"/>
      <c r="BCP19" s="171"/>
      <c r="BCQ19" s="171"/>
      <c r="BCR19" s="171"/>
      <c r="BCS19" s="171"/>
      <c r="BCT19" s="171"/>
      <c r="BCU19" s="171"/>
      <c r="BCV19" s="171"/>
      <c r="BCW19" s="171"/>
      <c r="BCX19" s="171"/>
      <c r="BCY19" s="171"/>
      <c r="BCZ19" s="171"/>
      <c r="BDA19" s="171"/>
      <c r="BDB19" s="171"/>
      <c r="BDC19" s="171"/>
      <c r="BDD19" s="171"/>
      <c r="BDE19" s="171"/>
      <c r="BDF19" s="171"/>
      <c r="BDG19" s="171"/>
      <c r="BDH19" s="171"/>
      <c r="BDI19" s="171"/>
      <c r="BDJ19" s="171"/>
      <c r="BDK19" s="171"/>
      <c r="BDL19" s="171"/>
      <c r="BDM19" s="171"/>
      <c r="BDN19" s="171"/>
      <c r="BDO19" s="171"/>
      <c r="BDP19" s="171"/>
      <c r="BDQ19" s="171"/>
      <c r="BDR19" s="171"/>
      <c r="BDS19" s="171"/>
      <c r="BDT19" s="171"/>
      <c r="BDU19" s="171"/>
      <c r="BDV19" s="171"/>
      <c r="BDW19" s="171"/>
      <c r="BDX19" s="171"/>
      <c r="BDY19" s="171"/>
      <c r="BDZ19" s="171"/>
      <c r="BEA19" s="171"/>
      <c r="BEB19" s="171"/>
      <c r="BEC19" s="171"/>
      <c r="BED19" s="171"/>
      <c r="BEE19" s="171"/>
      <c r="BEF19" s="171"/>
      <c r="BEG19" s="171"/>
      <c r="BEH19" s="171"/>
      <c r="BEI19" s="171"/>
      <c r="BEJ19" s="171"/>
      <c r="BEK19" s="171"/>
      <c r="BEL19" s="171"/>
      <c r="BEM19" s="171"/>
      <c r="BEN19" s="171"/>
      <c r="BEO19" s="171"/>
      <c r="BEP19" s="171"/>
      <c r="BEQ19" s="171"/>
      <c r="BER19" s="171"/>
      <c r="BES19" s="171"/>
      <c r="BET19" s="171"/>
      <c r="BEU19" s="171"/>
      <c r="BEV19" s="171"/>
      <c r="BEW19" s="171"/>
      <c r="BEX19" s="171"/>
      <c r="BEY19" s="171"/>
      <c r="BEZ19" s="171"/>
      <c r="BFA19" s="171"/>
      <c r="BFB19" s="171"/>
      <c r="BFC19" s="171"/>
      <c r="BFD19" s="171"/>
      <c r="BFE19" s="171"/>
      <c r="BFF19" s="171"/>
      <c r="BFG19" s="171"/>
      <c r="BFH19" s="171"/>
      <c r="BFI19" s="171"/>
      <c r="BFJ19" s="171"/>
      <c r="BFK19" s="171"/>
      <c r="BFL19" s="171"/>
      <c r="BFM19" s="171"/>
      <c r="BFN19" s="171"/>
      <c r="BFO19" s="171"/>
      <c r="BFP19" s="171"/>
      <c r="BFQ19" s="171"/>
      <c r="BFR19" s="171"/>
      <c r="BFS19" s="171"/>
      <c r="BFT19" s="171"/>
      <c r="BFU19" s="171"/>
      <c r="BFV19" s="171"/>
      <c r="BFW19" s="171"/>
      <c r="BFX19" s="171"/>
      <c r="BFY19" s="171"/>
      <c r="BFZ19" s="171"/>
      <c r="BGA19" s="171"/>
      <c r="BGB19" s="171"/>
      <c r="BGC19" s="171"/>
      <c r="BGD19" s="171"/>
      <c r="BGE19" s="171"/>
      <c r="BGF19" s="171"/>
      <c r="BGG19" s="171"/>
      <c r="BGH19" s="171"/>
      <c r="BGI19" s="171"/>
      <c r="BGJ19" s="171"/>
      <c r="BGK19" s="171"/>
      <c r="BGL19" s="171"/>
      <c r="BGM19" s="171"/>
      <c r="BGN19" s="171"/>
      <c r="BGO19" s="171"/>
      <c r="BGP19" s="171"/>
      <c r="BGQ19" s="171"/>
      <c r="BGR19" s="171"/>
      <c r="BGS19" s="171"/>
      <c r="BGT19" s="171"/>
      <c r="BGU19" s="171"/>
      <c r="BGV19" s="171"/>
      <c r="BGW19" s="171"/>
      <c r="BGX19" s="171"/>
      <c r="BGY19" s="171"/>
      <c r="BGZ19" s="171"/>
      <c r="BHA19" s="171"/>
      <c r="BHB19" s="171"/>
      <c r="BHC19" s="171"/>
      <c r="BHD19" s="171"/>
      <c r="BHE19" s="171"/>
      <c r="BHF19" s="171"/>
      <c r="BHG19" s="171"/>
      <c r="BHH19" s="171"/>
      <c r="BHI19" s="171"/>
      <c r="BHJ19" s="171"/>
      <c r="BHK19" s="171"/>
      <c r="BHL19" s="171"/>
      <c r="BHM19" s="171"/>
      <c r="BHN19" s="171"/>
      <c r="BHO19" s="171"/>
      <c r="BHP19" s="171"/>
      <c r="BHQ19" s="171"/>
      <c r="BHR19" s="171"/>
      <c r="BHS19" s="171"/>
      <c r="BHT19" s="171"/>
      <c r="BHU19" s="171"/>
      <c r="BHV19" s="171"/>
      <c r="BHW19" s="171"/>
      <c r="BHX19" s="171"/>
      <c r="BHY19" s="171"/>
      <c r="BHZ19" s="171"/>
      <c r="BIA19" s="171"/>
      <c r="BIB19" s="171"/>
      <c r="BIC19" s="171"/>
      <c r="BID19" s="171"/>
      <c r="BIE19" s="171"/>
      <c r="BIF19" s="171"/>
      <c r="BIG19" s="171"/>
      <c r="BIH19" s="171"/>
      <c r="BII19" s="171"/>
      <c r="BIJ19" s="171"/>
      <c r="BIK19" s="171"/>
      <c r="BIL19" s="171"/>
      <c r="BIM19" s="171"/>
      <c r="BIN19" s="171"/>
      <c r="BIO19" s="171"/>
      <c r="BIP19" s="171"/>
      <c r="BIQ19" s="171"/>
      <c r="BIR19" s="171"/>
      <c r="BIS19" s="171"/>
      <c r="BIT19" s="171"/>
      <c r="BIU19" s="171"/>
      <c r="BIV19" s="171"/>
      <c r="BIW19" s="171"/>
      <c r="BIX19" s="171"/>
      <c r="BIY19" s="171"/>
      <c r="BIZ19" s="171"/>
      <c r="BJA19" s="171"/>
      <c r="BJB19" s="171"/>
      <c r="BJC19" s="171"/>
      <c r="BJD19" s="171"/>
      <c r="BJE19" s="171"/>
      <c r="BJF19" s="171"/>
      <c r="BJG19" s="171"/>
      <c r="BJH19" s="171"/>
      <c r="BJI19" s="171"/>
      <c r="BJJ19" s="171"/>
      <c r="BJK19" s="171"/>
      <c r="BJL19" s="171"/>
      <c r="BJM19" s="171"/>
      <c r="BJN19" s="171"/>
      <c r="BJO19" s="171"/>
      <c r="BJP19" s="171"/>
      <c r="BJQ19" s="171"/>
      <c r="BJR19" s="171"/>
      <c r="BJS19" s="171"/>
      <c r="BJT19" s="171"/>
      <c r="BJU19" s="171"/>
      <c r="BJV19" s="171"/>
      <c r="BJW19" s="171"/>
      <c r="BJX19" s="171"/>
      <c r="BJY19" s="171"/>
      <c r="BJZ19" s="171"/>
      <c r="BKA19" s="171"/>
      <c r="BKB19" s="171"/>
      <c r="BKC19" s="171"/>
      <c r="BKD19" s="171"/>
      <c r="BKE19" s="171"/>
      <c r="BKF19" s="171"/>
      <c r="BKG19" s="171"/>
      <c r="BKH19" s="171"/>
      <c r="BKI19" s="171"/>
      <c r="BKJ19" s="171"/>
      <c r="BKK19" s="171"/>
      <c r="BKL19" s="171"/>
      <c r="BKM19" s="171"/>
      <c r="BKN19" s="171"/>
      <c r="BKO19" s="171"/>
      <c r="BKP19" s="171"/>
      <c r="BKQ19" s="171"/>
      <c r="BKR19" s="171"/>
      <c r="BKS19" s="171"/>
      <c r="BKT19" s="171"/>
      <c r="BKU19" s="171"/>
      <c r="BKV19" s="171"/>
      <c r="BKW19" s="171"/>
      <c r="BKX19" s="171"/>
      <c r="BKY19" s="171"/>
      <c r="BKZ19" s="171"/>
      <c r="BLA19" s="171"/>
      <c r="BLB19" s="171"/>
      <c r="BLC19" s="171"/>
      <c r="BLD19" s="171"/>
      <c r="BLE19" s="171"/>
      <c r="BLF19" s="171"/>
      <c r="BLG19" s="171"/>
      <c r="BLH19" s="171"/>
      <c r="BLI19" s="171"/>
      <c r="BLJ19" s="171"/>
      <c r="BLK19" s="171"/>
      <c r="BLL19" s="171"/>
      <c r="BLM19" s="171"/>
      <c r="BLN19" s="171"/>
      <c r="BLO19" s="171"/>
      <c r="BLP19" s="171"/>
      <c r="BLQ19" s="171"/>
      <c r="BLR19" s="171"/>
      <c r="BLS19" s="171"/>
      <c r="BLT19" s="171"/>
      <c r="BLU19" s="171"/>
      <c r="BLV19" s="171"/>
      <c r="BLW19" s="171"/>
      <c r="BLX19" s="171"/>
      <c r="BLY19" s="171"/>
      <c r="BLZ19" s="171"/>
      <c r="BMA19" s="171"/>
      <c r="BMB19" s="171"/>
      <c r="BMC19" s="171"/>
      <c r="BMD19" s="171"/>
      <c r="BME19" s="171"/>
      <c r="BMF19" s="171"/>
      <c r="BMG19" s="171"/>
      <c r="BMH19" s="171"/>
      <c r="BMI19" s="171"/>
      <c r="BMJ19" s="171"/>
      <c r="BMK19" s="171"/>
      <c r="BML19" s="171"/>
      <c r="BMM19" s="171"/>
      <c r="BMN19" s="171"/>
      <c r="BMO19" s="171"/>
      <c r="BMP19" s="171"/>
      <c r="BMQ19" s="171"/>
      <c r="BMR19" s="171"/>
      <c r="BMS19" s="171"/>
      <c r="BMT19" s="171"/>
      <c r="BMU19" s="171"/>
      <c r="BMV19" s="171"/>
      <c r="BMW19" s="171"/>
      <c r="BMX19" s="171"/>
      <c r="BMY19" s="171"/>
      <c r="BMZ19" s="171"/>
      <c r="BNA19" s="171"/>
      <c r="BNB19" s="171"/>
      <c r="BNC19" s="171"/>
      <c r="BND19" s="171"/>
      <c r="BNE19" s="171"/>
      <c r="BNF19" s="171"/>
      <c r="BNG19" s="171"/>
      <c r="BNH19" s="171"/>
      <c r="BNI19" s="171"/>
      <c r="BNJ19" s="171"/>
      <c r="BNK19" s="171"/>
      <c r="BNL19" s="171"/>
      <c r="BNM19" s="171"/>
      <c r="BNN19" s="171"/>
      <c r="BNO19" s="171"/>
      <c r="BNP19" s="171"/>
      <c r="BNQ19" s="171"/>
      <c r="BNR19" s="171"/>
      <c r="BNS19" s="171"/>
      <c r="BNT19" s="171"/>
      <c r="BNU19" s="171"/>
      <c r="BNV19" s="171"/>
      <c r="BNW19" s="171"/>
      <c r="BNX19" s="171"/>
      <c r="BNY19" s="171"/>
      <c r="BNZ19" s="171"/>
      <c r="BOA19" s="171"/>
      <c r="BOB19" s="171"/>
      <c r="BOC19" s="171"/>
      <c r="BOD19" s="171"/>
      <c r="BOE19" s="171"/>
      <c r="BOF19" s="171"/>
      <c r="BOG19" s="171"/>
      <c r="BOH19" s="171"/>
      <c r="BOI19" s="171"/>
      <c r="BOJ19" s="171"/>
      <c r="BOK19" s="171"/>
      <c r="BOL19" s="171"/>
      <c r="BOM19" s="171"/>
      <c r="BON19" s="171"/>
      <c r="BOO19" s="171"/>
      <c r="BOP19" s="171"/>
      <c r="BOQ19" s="171"/>
      <c r="BOR19" s="171"/>
      <c r="BOS19" s="171"/>
      <c r="BOT19" s="171"/>
      <c r="BOU19" s="171"/>
      <c r="BOV19" s="171"/>
      <c r="BOW19" s="171"/>
      <c r="BOX19" s="171"/>
      <c r="BOY19" s="171"/>
      <c r="BOZ19" s="171"/>
      <c r="BPA19" s="171"/>
      <c r="BPB19" s="171"/>
      <c r="BPC19" s="171"/>
      <c r="BPD19" s="171"/>
      <c r="BPE19" s="171"/>
      <c r="BPF19" s="171"/>
      <c r="BPG19" s="171"/>
      <c r="BPH19" s="171"/>
      <c r="BPI19" s="171"/>
      <c r="BPJ19" s="171"/>
      <c r="BPK19" s="171"/>
      <c r="BPL19" s="171"/>
      <c r="BPM19" s="171"/>
      <c r="BPN19" s="171"/>
      <c r="BPO19" s="171"/>
      <c r="BPP19" s="171"/>
      <c r="BPQ19" s="171"/>
      <c r="BPR19" s="171"/>
      <c r="BPS19" s="171"/>
      <c r="BPT19" s="171"/>
      <c r="BPU19" s="171"/>
      <c r="BPV19" s="171"/>
      <c r="BPW19" s="171"/>
      <c r="BPX19" s="171"/>
      <c r="BPY19" s="171"/>
      <c r="BPZ19" s="171"/>
      <c r="BQA19" s="171"/>
      <c r="BQB19" s="171"/>
      <c r="BQC19" s="171"/>
      <c r="BQD19" s="171"/>
      <c r="BQE19" s="171"/>
      <c r="BQF19" s="171"/>
      <c r="BQG19" s="171"/>
      <c r="BQH19" s="171"/>
      <c r="BQI19" s="171"/>
      <c r="BQJ19" s="171"/>
      <c r="BQK19" s="171"/>
      <c r="BQL19" s="171"/>
      <c r="BQM19" s="171"/>
      <c r="BQN19" s="171"/>
      <c r="BQO19" s="171"/>
      <c r="BQP19" s="171"/>
      <c r="BQQ19" s="171"/>
      <c r="BQR19" s="171"/>
      <c r="BQS19" s="171"/>
      <c r="BQT19" s="171"/>
      <c r="BQU19" s="171"/>
      <c r="BQV19" s="171"/>
      <c r="BQW19" s="171"/>
      <c r="BQX19" s="171"/>
      <c r="BQY19" s="171"/>
      <c r="BQZ19" s="171"/>
      <c r="BRA19" s="171"/>
      <c r="BRB19" s="171"/>
      <c r="BRC19" s="171"/>
      <c r="BRD19" s="171"/>
      <c r="BRE19" s="171"/>
      <c r="BRF19" s="171"/>
      <c r="BRG19" s="171"/>
      <c r="BRH19" s="171"/>
      <c r="BRI19" s="171"/>
      <c r="BRJ19" s="171"/>
      <c r="BRK19" s="171"/>
      <c r="BRL19" s="171"/>
      <c r="BRM19" s="171"/>
      <c r="BRN19" s="171"/>
      <c r="BRO19" s="171"/>
      <c r="BRP19" s="171"/>
      <c r="BRQ19" s="171"/>
      <c r="BRR19" s="171"/>
      <c r="BRS19" s="171"/>
      <c r="BRT19" s="171"/>
      <c r="BRU19" s="171"/>
      <c r="BRV19" s="171"/>
      <c r="BRW19" s="171"/>
      <c r="BRX19" s="171"/>
      <c r="BRY19" s="171"/>
      <c r="BRZ19" s="171"/>
      <c r="BSA19" s="171"/>
      <c r="BSB19" s="171"/>
      <c r="BSC19" s="171"/>
      <c r="BSD19" s="171"/>
      <c r="BSE19" s="171"/>
      <c r="BSF19" s="171"/>
      <c r="BSG19" s="171"/>
      <c r="BSH19" s="171"/>
      <c r="BSI19" s="171"/>
      <c r="BSJ19" s="171"/>
      <c r="BSK19" s="171"/>
      <c r="BSL19" s="171"/>
      <c r="BSM19" s="171"/>
      <c r="BSN19" s="171"/>
      <c r="BSO19" s="171"/>
      <c r="BSP19" s="171"/>
      <c r="BSQ19" s="171"/>
      <c r="BSR19" s="171"/>
      <c r="BSS19" s="171"/>
      <c r="BST19" s="171"/>
      <c r="BSU19" s="171"/>
      <c r="BSV19" s="171"/>
      <c r="BSW19" s="171"/>
      <c r="BSX19" s="171"/>
      <c r="BSY19" s="171"/>
      <c r="BSZ19" s="171"/>
      <c r="BTA19" s="171"/>
      <c r="BTB19" s="171"/>
      <c r="BTC19" s="171"/>
      <c r="BTD19" s="171"/>
      <c r="BTE19" s="171"/>
      <c r="BTF19" s="171"/>
      <c r="BTG19" s="171"/>
      <c r="BTH19" s="171"/>
      <c r="BTI19" s="171"/>
      <c r="BTJ19" s="171"/>
      <c r="BTK19" s="171"/>
      <c r="BTL19" s="171"/>
      <c r="BTM19" s="171"/>
      <c r="BTN19" s="171"/>
      <c r="BTO19" s="171"/>
      <c r="BTP19" s="171"/>
      <c r="BTQ19" s="171"/>
      <c r="BTR19" s="171"/>
      <c r="BTS19" s="171"/>
      <c r="BTT19" s="171"/>
      <c r="BTU19" s="171"/>
      <c r="BTV19" s="171"/>
      <c r="BTW19" s="171"/>
      <c r="BTX19" s="171"/>
      <c r="BTY19" s="171"/>
      <c r="BTZ19" s="171"/>
      <c r="BUA19" s="171"/>
      <c r="BUB19" s="171"/>
      <c r="BUC19" s="171"/>
      <c r="BUD19" s="171"/>
      <c r="BUE19" s="171"/>
      <c r="BUF19" s="171"/>
      <c r="BUG19" s="171"/>
      <c r="BUH19" s="171"/>
      <c r="BUI19" s="171"/>
      <c r="BUJ19" s="171"/>
      <c r="BUK19" s="171"/>
      <c r="BUL19" s="171"/>
      <c r="BUM19" s="171"/>
      <c r="BUN19" s="171"/>
      <c r="BUO19" s="171"/>
      <c r="BUP19" s="171"/>
      <c r="BUQ19" s="171"/>
      <c r="BUR19" s="171"/>
      <c r="BUS19" s="171"/>
      <c r="BUT19" s="171"/>
      <c r="BUU19" s="171"/>
      <c r="BUV19" s="171"/>
      <c r="BUW19" s="171"/>
      <c r="BUX19" s="171"/>
      <c r="BUY19" s="171"/>
      <c r="BUZ19" s="171"/>
      <c r="BVA19" s="171"/>
      <c r="BVB19" s="171"/>
      <c r="BVC19" s="171"/>
      <c r="BVD19" s="171"/>
      <c r="BVE19" s="171"/>
      <c r="BVF19" s="171"/>
      <c r="BVG19" s="171"/>
      <c r="BVH19" s="171"/>
      <c r="BVI19" s="171"/>
      <c r="BVJ19" s="171"/>
      <c r="BVK19" s="171"/>
      <c r="BVL19" s="171"/>
      <c r="BVM19" s="171"/>
      <c r="BVN19" s="171"/>
      <c r="BVO19" s="171"/>
      <c r="BVP19" s="171"/>
      <c r="BVQ19" s="171"/>
      <c r="BVR19" s="171"/>
      <c r="BVS19" s="171"/>
      <c r="BVT19" s="171"/>
      <c r="BVU19" s="171"/>
      <c r="BVV19" s="171"/>
      <c r="BVW19" s="171"/>
      <c r="BVX19" s="171"/>
      <c r="BVY19" s="171"/>
      <c r="BVZ19" s="171"/>
      <c r="BWA19" s="171"/>
      <c r="BWB19" s="171"/>
      <c r="BWC19" s="171"/>
      <c r="BWD19" s="171"/>
      <c r="BWE19" s="171"/>
      <c r="BWF19" s="171"/>
      <c r="BWG19" s="171"/>
      <c r="BWH19" s="171"/>
      <c r="BWI19" s="171"/>
      <c r="BWJ19" s="171"/>
      <c r="BWK19" s="171"/>
      <c r="BWL19" s="171"/>
      <c r="BWM19" s="171"/>
      <c r="BWN19" s="171"/>
      <c r="BWO19" s="171"/>
      <c r="BWP19" s="171"/>
      <c r="BWQ19" s="171"/>
      <c r="BWR19" s="171"/>
      <c r="BWS19" s="171"/>
      <c r="BWT19" s="171"/>
      <c r="BWU19" s="171"/>
      <c r="BWV19" s="171"/>
      <c r="BWW19" s="171"/>
      <c r="BWX19" s="171"/>
      <c r="BWY19" s="171"/>
      <c r="BWZ19" s="171"/>
      <c r="BXA19" s="171"/>
      <c r="BXB19" s="171"/>
      <c r="BXC19" s="171"/>
      <c r="BXD19" s="171"/>
      <c r="BXE19" s="171"/>
      <c r="BXF19" s="171"/>
      <c r="BXG19" s="171"/>
      <c r="BXH19" s="171"/>
      <c r="BXI19" s="171"/>
      <c r="BXJ19" s="171"/>
      <c r="BXK19" s="171"/>
      <c r="BXL19" s="171"/>
      <c r="BXM19" s="171"/>
      <c r="BXN19" s="171"/>
      <c r="BXO19" s="171"/>
      <c r="BXP19" s="171"/>
      <c r="BXQ19" s="171"/>
      <c r="BXR19" s="171"/>
      <c r="BXS19" s="171"/>
      <c r="BXT19" s="171"/>
      <c r="BXU19" s="171"/>
      <c r="BXV19" s="171"/>
      <c r="BXW19" s="171"/>
      <c r="BXX19" s="171"/>
      <c r="BXY19" s="171"/>
      <c r="BXZ19" s="171"/>
      <c r="BYA19" s="171"/>
      <c r="BYB19" s="171"/>
      <c r="BYC19" s="171"/>
      <c r="BYD19" s="171"/>
      <c r="BYE19" s="171"/>
      <c r="BYF19" s="171"/>
      <c r="BYG19" s="171"/>
      <c r="BYH19" s="171"/>
      <c r="BYI19" s="171"/>
      <c r="BYJ19" s="171"/>
      <c r="BYK19" s="171"/>
      <c r="BYL19" s="171"/>
      <c r="BYM19" s="171"/>
      <c r="BYN19" s="171"/>
      <c r="BYO19" s="171"/>
      <c r="BYP19" s="171"/>
      <c r="BYQ19" s="171"/>
      <c r="BYR19" s="171"/>
      <c r="BYS19" s="171"/>
      <c r="BYT19" s="171"/>
      <c r="BYU19" s="171"/>
      <c r="BYV19" s="171"/>
      <c r="BYW19" s="171"/>
      <c r="BYX19" s="171"/>
      <c r="BYY19" s="171"/>
      <c r="BYZ19" s="171"/>
      <c r="BZA19" s="171"/>
      <c r="BZB19" s="171"/>
      <c r="BZC19" s="171"/>
      <c r="BZD19" s="171"/>
      <c r="BZE19" s="171"/>
      <c r="BZF19" s="171"/>
      <c r="BZG19" s="171"/>
      <c r="BZH19" s="171"/>
      <c r="BZI19" s="171"/>
      <c r="BZJ19" s="171"/>
      <c r="BZK19" s="171"/>
      <c r="BZL19" s="171"/>
      <c r="BZM19" s="171"/>
      <c r="BZN19" s="171"/>
      <c r="BZO19" s="171"/>
      <c r="BZP19" s="171"/>
      <c r="BZQ19" s="171"/>
      <c r="BZR19" s="171"/>
      <c r="BZS19" s="171"/>
      <c r="BZT19" s="171"/>
      <c r="BZU19" s="171"/>
      <c r="BZV19" s="171"/>
      <c r="BZW19" s="171"/>
      <c r="BZX19" s="171"/>
      <c r="BZY19" s="171"/>
      <c r="BZZ19" s="171"/>
      <c r="CAA19" s="171"/>
      <c r="CAB19" s="171"/>
      <c r="CAC19" s="171"/>
      <c r="CAD19" s="171"/>
      <c r="CAE19" s="171"/>
      <c r="CAF19" s="171"/>
      <c r="CAG19" s="171"/>
      <c r="CAH19" s="171"/>
      <c r="CAI19" s="171"/>
      <c r="CAJ19" s="171"/>
      <c r="CAK19" s="171"/>
      <c r="CAL19" s="171"/>
      <c r="CAM19" s="171"/>
      <c r="CAN19" s="171"/>
      <c r="CAO19" s="171"/>
      <c r="CAP19" s="171"/>
      <c r="CAQ19" s="171"/>
      <c r="CAR19" s="171"/>
      <c r="CAS19" s="171"/>
      <c r="CAT19" s="171"/>
      <c r="CAU19" s="171"/>
      <c r="CAV19" s="171"/>
      <c r="CAW19" s="171"/>
      <c r="CAX19" s="171"/>
      <c r="CAY19" s="171"/>
      <c r="CAZ19" s="171"/>
      <c r="CBA19" s="171"/>
      <c r="CBB19" s="171"/>
      <c r="CBC19" s="171"/>
      <c r="CBD19" s="171"/>
      <c r="CBE19" s="171"/>
      <c r="CBF19" s="171"/>
      <c r="CBG19" s="171"/>
      <c r="CBH19" s="171"/>
      <c r="CBI19" s="171"/>
      <c r="CBJ19" s="171"/>
      <c r="CBK19" s="171"/>
      <c r="CBL19" s="171"/>
      <c r="CBM19" s="171"/>
      <c r="CBN19" s="171"/>
      <c r="CBO19" s="171"/>
      <c r="CBP19" s="171"/>
      <c r="CBQ19" s="171"/>
      <c r="CBR19" s="171"/>
      <c r="CBS19" s="171"/>
      <c r="CBT19" s="171"/>
      <c r="CBU19" s="171"/>
      <c r="CBV19" s="171"/>
      <c r="CBW19" s="171"/>
      <c r="CBX19" s="171"/>
      <c r="CBY19" s="171"/>
      <c r="CBZ19" s="171"/>
      <c r="CCA19" s="171"/>
      <c r="CCB19" s="171"/>
      <c r="CCC19" s="171"/>
      <c r="CCD19" s="171"/>
      <c r="CCE19" s="171"/>
      <c r="CCF19" s="171"/>
      <c r="CCG19" s="171"/>
      <c r="CCH19" s="171"/>
      <c r="CCI19" s="171"/>
      <c r="CCJ19" s="171"/>
      <c r="CCK19" s="171"/>
      <c r="CCL19" s="171"/>
      <c r="CCM19" s="171"/>
      <c r="CCN19" s="171"/>
      <c r="CCO19" s="171"/>
      <c r="CCP19" s="171"/>
      <c r="CCQ19" s="171"/>
      <c r="CCR19" s="171"/>
      <c r="CCS19" s="171"/>
      <c r="CCT19" s="171"/>
      <c r="CCU19" s="171"/>
      <c r="CCV19" s="171"/>
      <c r="CCW19" s="171"/>
      <c r="CCX19" s="171"/>
      <c r="CCY19" s="171"/>
      <c r="CCZ19" s="171"/>
      <c r="CDA19" s="171"/>
      <c r="CDB19" s="171"/>
      <c r="CDC19" s="171"/>
      <c r="CDD19" s="171"/>
      <c r="CDE19" s="171"/>
      <c r="CDF19" s="171"/>
      <c r="CDG19" s="171"/>
      <c r="CDH19" s="171"/>
      <c r="CDI19" s="171"/>
      <c r="CDJ19" s="171"/>
      <c r="CDK19" s="171"/>
      <c r="CDL19" s="171"/>
      <c r="CDM19" s="171"/>
      <c r="CDN19" s="171"/>
      <c r="CDO19" s="171"/>
      <c r="CDP19" s="171"/>
      <c r="CDQ19" s="171"/>
      <c r="CDR19" s="171"/>
      <c r="CDS19" s="171"/>
      <c r="CDT19" s="171"/>
      <c r="CDU19" s="171"/>
      <c r="CDV19" s="171"/>
      <c r="CDW19" s="171"/>
      <c r="CDX19" s="171"/>
      <c r="CDY19" s="171"/>
      <c r="CDZ19" s="171"/>
      <c r="CEA19" s="171"/>
      <c r="CEB19" s="171"/>
      <c r="CEC19" s="171"/>
      <c r="CED19" s="171"/>
      <c r="CEE19" s="171"/>
      <c r="CEF19" s="171"/>
      <c r="CEG19" s="171"/>
      <c r="CEH19" s="171"/>
      <c r="CEI19" s="171"/>
      <c r="CEJ19" s="171"/>
      <c r="CEK19" s="171"/>
      <c r="CEL19" s="171"/>
      <c r="CEM19" s="171"/>
      <c r="CEN19" s="171"/>
      <c r="CEO19" s="171"/>
      <c r="CEP19" s="171"/>
      <c r="CEQ19" s="171"/>
      <c r="CER19" s="171"/>
      <c r="CES19" s="171"/>
      <c r="CET19" s="171"/>
      <c r="CEU19" s="171"/>
      <c r="CEV19" s="171"/>
      <c r="CEW19" s="171"/>
      <c r="CEX19" s="171"/>
      <c r="CEY19" s="171"/>
      <c r="CEZ19" s="171"/>
      <c r="CFA19" s="171"/>
      <c r="CFB19" s="171"/>
      <c r="CFC19" s="171"/>
      <c r="CFD19" s="171"/>
      <c r="CFE19" s="171"/>
      <c r="CFF19" s="171"/>
      <c r="CFG19" s="171"/>
      <c r="CFH19" s="171"/>
      <c r="CFI19" s="171"/>
      <c r="CFJ19" s="171"/>
      <c r="CFK19" s="171"/>
      <c r="CFL19" s="171"/>
      <c r="CFM19" s="171"/>
      <c r="CFN19" s="171"/>
      <c r="CFO19" s="171"/>
      <c r="CFP19" s="171"/>
      <c r="CFQ19" s="171"/>
      <c r="CFR19" s="171"/>
      <c r="CFS19" s="171"/>
      <c r="CFT19" s="171"/>
      <c r="CFU19" s="171"/>
      <c r="CFV19" s="171"/>
      <c r="CFW19" s="171"/>
      <c r="CFX19" s="171"/>
      <c r="CFY19" s="171"/>
      <c r="CFZ19" s="171"/>
      <c r="CGA19" s="171"/>
      <c r="CGB19" s="171"/>
      <c r="CGC19" s="171"/>
      <c r="CGD19" s="171"/>
      <c r="CGE19" s="171"/>
      <c r="CGF19" s="171"/>
      <c r="CGG19" s="171"/>
      <c r="CGH19" s="171"/>
      <c r="CGI19" s="171"/>
      <c r="CGJ19" s="171"/>
      <c r="CGK19" s="171"/>
      <c r="CGL19" s="171"/>
      <c r="CGM19" s="171"/>
      <c r="CGN19" s="171"/>
      <c r="CGO19" s="171"/>
      <c r="CGP19" s="171"/>
      <c r="CGQ19" s="171"/>
      <c r="CGR19" s="171"/>
      <c r="CGS19" s="171"/>
      <c r="CGT19" s="171"/>
      <c r="CGU19" s="171"/>
      <c r="CGV19" s="171"/>
      <c r="CGW19" s="171"/>
      <c r="CGX19" s="171"/>
      <c r="CGY19" s="171"/>
      <c r="CGZ19" s="171"/>
      <c r="CHA19" s="171"/>
      <c r="CHB19" s="171"/>
      <c r="CHC19" s="171"/>
      <c r="CHD19" s="171"/>
      <c r="CHE19" s="171"/>
      <c r="CHF19" s="171"/>
      <c r="CHG19" s="171"/>
      <c r="CHH19" s="171"/>
      <c r="CHI19" s="171"/>
      <c r="CHJ19" s="171"/>
      <c r="CHK19" s="171"/>
      <c r="CHL19" s="171"/>
      <c r="CHM19" s="171"/>
      <c r="CHN19" s="171"/>
      <c r="CHO19" s="171"/>
      <c r="CHP19" s="171"/>
      <c r="CHQ19" s="171"/>
      <c r="CHR19" s="171"/>
      <c r="CHS19" s="171"/>
      <c r="CHT19" s="171"/>
      <c r="CHU19" s="171"/>
      <c r="CHV19" s="171"/>
      <c r="CHW19" s="171"/>
      <c r="CHX19" s="171"/>
      <c r="CHY19" s="171"/>
      <c r="CHZ19" s="171"/>
      <c r="CIA19" s="171"/>
      <c r="CIB19" s="171"/>
      <c r="CIC19" s="171"/>
      <c r="CID19" s="171"/>
      <c r="CIE19" s="171"/>
      <c r="CIF19" s="171"/>
      <c r="CIG19" s="171"/>
      <c r="CIH19" s="171"/>
      <c r="CII19" s="171"/>
      <c r="CIJ19" s="171"/>
      <c r="CIK19" s="171"/>
      <c r="CIL19" s="171"/>
      <c r="CIM19" s="171"/>
      <c r="CIN19" s="171"/>
      <c r="CIO19" s="171"/>
      <c r="CIP19" s="171"/>
      <c r="CIQ19" s="171"/>
      <c r="CIR19" s="171"/>
      <c r="CIS19" s="171"/>
      <c r="CIT19" s="171"/>
      <c r="CIU19" s="171"/>
      <c r="CIV19" s="171"/>
      <c r="CIW19" s="171"/>
      <c r="CIX19" s="171"/>
      <c r="CIY19" s="171"/>
      <c r="CIZ19" s="171"/>
      <c r="CJA19" s="171"/>
      <c r="CJB19" s="171"/>
      <c r="CJC19" s="171"/>
      <c r="CJD19" s="171"/>
      <c r="CJE19" s="171"/>
      <c r="CJF19" s="171"/>
      <c r="CJG19" s="171"/>
      <c r="CJH19" s="171"/>
      <c r="CJI19" s="171"/>
      <c r="CJJ19" s="171"/>
      <c r="CJK19" s="171"/>
      <c r="CJL19" s="171"/>
      <c r="CJM19" s="171"/>
      <c r="CJN19" s="171"/>
      <c r="CJO19" s="171"/>
      <c r="CJP19" s="171"/>
      <c r="CJQ19" s="171"/>
      <c r="CJR19" s="171"/>
      <c r="CJS19" s="171"/>
      <c r="CJT19" s="171"/>
      <c r="CJU19" s="171"/>
      <c r="CJV19" s="171"/>
      <c r="CJW19" s="171"/>
      <c r="CJX19" s="171"/>
      <c r="CJY19" s="171"/>
      <c r="CJZ19" s="171"/>
      <c r="CKA19" s="171"/>
      <c r="CKB19" s="171"/>
      <c r="CKC19" s="171"/>
      <c r="CKD19" s="171"/>
      <c r="CKE19" s="171"/>
      <c r="CKF19" s="171"/>
      <c r="CKG19" s="171"/>
      <c r="CKH19" s="171"/>
      <c r="CKI19" s="171"/>
      <c r="CKJ19" s="171"/>
      <c r="CKK19" s="171"/>
      <c r="CKL19" s="171"/>
      <c r="CKM19" s="171"/>
      <c r="CKN19" s="171"/>
      <c r="CKO19" s="171"/>
      <c r="CKP19" s="171"/>
      <c r="CKQ19" s="171"/>
      <c r="CKR19" s="171"/>
      <c r="CKS19" s="171"/>
      <c r="CKT19" s="171"/>
      <c r="CKU19" s="171"/>
      <c r="CKV19" s="171"/>
      <c r="CKW19" s="171"/>
      <c r="CKX19" s="171"/>
      <c r="CKY19" s="171"/>
      <c r="CKZ19" s="171"/>
      <c r="CLA19" s="171"/>
      <c r="CLB19" s="171"/>
      <c r="CLC19" s="171"/>
      <c r="CLD19" s="171"/>
      <c r="CLE19" s="171"/>
      <c r="CLF19" s="171"/>
      <c r="CLG19" s="171"/>
      <c r="CLH19" s="171"/>
      <c r="CLI19" s="171"/>
      <c r="CLJ19" s="171"/>
      <c r="CLK19" s="171"/>
      <c r="CLL19" s="171"/>
      <c r="CLM19" s="171"/>
      <c r="CLN19" s="171"/>
      <c r="CLO19" s="171"/>
      <c r="CLP19" s="171"/>
      <c r="CLQ19" s="171"/>
      <c r="CLR19" s="171"/>
      <c r="CLS19" s="171"/>
      <c r="CLT19" s="171"/>
      <c r="CLU19" s="171"/>
      <c r="CLV19" s="171"/>
      <c r="CLW19" s="171"/>
      <c r="CLX19" s="171"/>
      <c r="CLY19" s="171"/>
      <c r="CLZ19" s="171"/>
      <c r="CMA19" s="171"/>
      <c r="CMB19" s="171"/>
      <c r="CMC19" s="171"/>
      <c r="CMD19" s="171"/>
      <c r="CME19" s="171"/>
      <c r="CMF19" s="171"/>
      <c r="CMG19" s="171"/>
      <c r="CMH19" s="171"/>
      <c r="CMI19" s="171"/>
      <c r="CMJ19" s="171"/>
      <c r="CMK19" s="171"/>
      <c r="CML19" s="171"/>
      <c r="CMM19" s="171"/>
      <c r="CMN19" s="171"/>
      <c r="CMO19" s="171"/>
      <c r="CMP19" s="171"/>
      <c r="CMQ19" s="171"/>
      <c r="CMR19" s="171"/>
      <c r="CMS19" s="171"/>
      <c r="CMT19" s="171"/>
      <c r="CMU19" s="171"/>
      <c r="CMV19" s="171"/>
      <c r="CMW19" s="171"/>
      <c r="CMX19" s="171"/>
      <c r="CMY19" s="171"/>
      <c r="CMZ19" s="171"/>
      <c r="CNA19" s="171"/>
      <c r="CNB19" s="171"/>
      <c r="CNC19" s="171"/>
      <c r="CND19" s="171"/>
      <c r="CNE19" s="171"/>
      <c r="CNF19" s="171"/>
      <c r="CNG19" s="171"/>
      <c r="CNH19" s="171"/>
      <c r="CNI19" s="171"/>
      <c r="CNJ19" s="171"/>
      <c r="CNK19" s="171"/>
      <c r="CNL19" s="171"/>
      <c r="CNM19" s="171"/>
      <c r="CNN19" s="171"/>
      <c r="CNO19" s="171"/>
      <c r="CNP19" s="171"/>
      <c r="CNQ19" s="171"/>
      <c r="CNR19" s="171"/>
      <c r="CNS19" s="171"/>
      <c r="CNT19" s="171"/>
      <c r="CNU19" s="171"/>
      <c r="CNV19" s="171"/>
      <c r="CNW19" s="171"/>
      <c r="CNX19" s="171"/>
      <c r="CNY19" s="171"/>
      <c r="CNZ19" s="171"/>
      <c r="COA19" s="171"/>
      <c r="COB19" s="171"/>
      <c r="COC19" s="171"/>
      <c r="COD19" s="171"/>
      <c r="COE19" s="171"/>
      <c r="COF19" s="171"/>
      <c r="COG19" s="171"/>
      <c r="COH19" s="171"/>
      <c r="COI19" s="171"/>
      <c r="COJ19" s="171"/>
      <c r="COK19" s="171"/>
      <c r="COL19" s="171"/>
      <c r="COM19" s="171"/>
      <c r="CON19" s="171"/>
      <c r="COO19" s="171"/>
      <c r="COP19" s="171"/>
      <c r="COQ19" s="171"/>
      <c r="COR19" s="171"/>
      <c r="COS19" s="171"/>
      <c r="COT19" s="171"/>
      <c r="COU19" s="171"/>
      <c r="COV19" s="171"/>
      <c r="COW19" s="171"/>
      <c r="COX19" s="171"/>
      <c r="COY19" s="171"/>
      <c r="COZ19" s="171"/>
      <c r="CPA19" s="171"/>
      <c r="CPB19" s="171"/>
      <c r="CPC19" s="171"/>
      <c r="CPD19" s="171"/>
      <c r="CPE19" s="171"/>
      <c r="CPF19" s="171"/>
      <c r="CPG19" s="171"/>
      <c r="CPH19" s="171"/>
      <c r="CPI19" s="171"/>
      <c r="CPJ19" s="171"/>
      <c r="CPK19" s="171"/>
      <c r="CPL19" s="171"/>
      <c r="CPM19" s="171"/>
      <c r="CPN19" s="171"/>
      <c r="CPO19" s="171"/>
      <c r="CPP19" s="171"/>
      <c r="CPQ19" s="171"/>
      <c r="CPR19" s="171"/>
      <c r="CPS19" s="171"/>
      <c r="CPT19" s="171"/>
      <c r="CPU19" s="171"/>
      <c r="CPV19" s="171"/>
      <c r="CPW19" s="171"/>
      <c r="CPX19" s="171"/>
      <c r="CPY19" s="171"/>
      <c r="CPZ19" s="171"/>
      <c r="CQA19" s="171"/>
      <c r="CQB19" s="171"/>
      <c r="CQC19" s="171"/>
      <c r="CQD19" s="171"/>
      <c r="CQE19" s="171"/>
      <c r="CQF19" s="171"/>
      <c r="CQG19" s="171"/>
      <c r="CQH19" s="171"/>
      <c r="CQI19" s="171"/>
      <c r="CQJ19" s="171"/>
      <c r="CQK19" s="171"/>
      <c r="CQL19" s="171"/>
      <c r="CQM19" s="171"/>
      <c r="CQN19" s="171"/>
      <c r="CQO19" s="171"/>
      <c r="CQP19" s="171"/>
      <c r="CQQ19" s="171"/>
      <c r="CQR19" s="171"/>
      <c r="CQS19" s="171"/>
      <c r="CQT19" s="171"/>
      <c r="CQU19" s="171"/>
      <c r="CQV19" s="171"/>
      <c r="CQW19" s="171"/>
      <c r="CQX19" s="171"/>
      <c r="CQY19" s="171"/>
      <c r="CQZ19" s="171"/>
      <c r="CRA19" s="171"/>
      <c r="CRB19" s="171"/>
      <c r="CRC19" s="171"/>
      <c r="CRD19" s="171"/>
      <c r="CRE19" s="171"/>
      <c r="CRF19" s="171"/>
      <c r="CRG19" s="171"/>
      <c r="CRH19" s="171"/>
      <c r="CRI19" s="171"/>
      <c r="CRJ19" s="171"/>
      <c r="CRK19" s="171"/>
      <c r="CRL19" s="171"/>
      <c r="CRM19" s="171"/>
      <c r="CRN19" s="171"/>
      <c r="CRO19" s="171"/>
      <c r="CRP19" s="171"/>
      <c r="CRQ19" s="171"/>
      <c r="CRR19" s="171"/>
      <c r="CRS19" s="171"/>
      <c r="CRT19" s="171"/>
      <c r="CRU19" s="171"/>
      <c r="CRV19" s="171"/>
      <c r="CRW19" s="171"/>
      <c r="CRX19" s="171"/>
      <c r="CRY19" s="171"/>
      <c r="CRZ19" s="171"/>
      <c r="CSA19" s="171"/>
      <c r="CSB19" s="171"/>
      <c r="CSC19" s="171"/>
      <c r="CSD19" s="171"/>
      <c r="CSE19" s="171"/>
      <c r="CSF19" s="171"/>
      <c r="CSG19" s="171"/>
      <c r="CSH19" s="171"/>
      <c r="CSI19" s="171"/>
      <c r="CSJ19" s="171"/>
      <c r="CSK19" s="171"/>
      <c r="CSL19" s="171"/>
      <c r="CSM19" s="171"/>
      <c r="CSN19" s="171"/>
      <c r="CSO19" s="171"/>
      <c r="CSP19" s="171"/>
      <c r="CSQ19" s="171"/>
      <c r="CSR19" s="171"/>
      <c r="CSS19" s="171"/>
      <c r="CST19" s="171"/>
      <c r="CSU19" s="171"/>
      <c r="CSV19" s="171"/>
      <c r="CSW19" s="171"/>
      <c r="CSX19" s="171"/>
      <c r="CSY19" s="171"/>
      <c r="CSZ19" s="171"/>
      <c r="CTA19" s="171"/>
      <c r="CTB19" s="171"/>
      <c r="CTC19" s="171"/>
      <c r="CTD19" s="171"/>
      <c r="CTE19" s="171"/>
      <c r="CTF19" s="171"/>
      <c r="CTG19" s="171"/>
      <c r="CTH19" s="171"/>
      <c r="CTI19" s="171"/>
      <c r="CTJ19" s="171"/>
      <c r="CTK19" s="171"/>
      <c r="CTL19" s="171"/>
      <c r="CTM19" s="171"/>
      <c r="CTN19" s="171"/>
      <c r="CTO19" s="171"/>
      <c r="CTP19" s="171"/>
      <c r="CTQ19" s="171"/>
      <c r="CTR19" s="171"/>
      <c r="CTS19" s="171"/>
      <c r="CTT19" s="171"/>
      <c r="CTU19" s="171"/>
      <c r="CTV19" s="171"/>
      <c r="CTW19" s="171"/>
      <c r="CTX19" s="171"/>
      <c r="CTY19" s="171"/>
      <c r="CTZ19" s="171"/>
      <c r="CUA19" s="171"/>
      <c r="CUB19" s="171"/>
      <c r="CUC19" s="171"/>
      <c r="CUD19" s="171"/>
      <c r="CUE19" s="171"/>
      <c r="CUF19" s="171"/>
      <c r="CUG19" s="171"/>
      <c r="CUH19" s="171"/>
      <c r="CUI19" s="171"/>
      <c r="CUJ19" s="171"/>
      <c r="CUK19" s="171"/>
      <c r="CUL19" s="171"/>
      <c r="CUM19" s="171"/>
      <c r="CUN19" s="171"/>
      <c r="CUO19" s="171"/>
      <c r="CUP19" s="171"/>
      <c r="CUQ19" s="171"/>
      <c r="CUR19" s="171"/>
      <c r="CUS19" s="171"/>
      <c r="CUT19" s="171"/>
      <c r="CUU19" s="171"/>
      <c r="CUV19" s="171"/>
      <c r="CUW19" s="171"/>
      <c r="CUX19" s="171"/>
      <c r="CUY19" s="171"/>
      <c r="CUZ19" s="171"/>
      <c r="CVA19" s="171"/>
      <c r="CVB19" s="171"/>
      <c r="CVC19" s="171"/>
      <c r="CVD19" s="171"/>
      <c r="CVE19" s="171"/>
      <c r="CVF19" s="171"/>
      <c r="CVG19" s="171"/>
      <c r="CVH19" s="171"/>
      <c r="CVI19" s="171"/>
      <c r="CVJ19" s="171"/>
      <c r="CVK19" s="171"/>
      <c r="CVL19" s="171"/>
      <c r="CVM19" s="171"/>
      <c r="CVN19" s="171"/>
      <c r="CVO19" s="171"/>
      <c r="CVP19" s="171"/>
      <c r="CVQ19" s="171"/>
      <c r="CVR19" s="171"/>
      <c r="CVS19" s="171"/>
      <c r="CVT19" s="171"/>
      <c r="CVU19" s="171"/>
      <c r="CVV19" s="171"/>
      <c r="CVW19" s="171"/>
      <c r="CVX19" s="171"/>
      <c r="CVY19" s="171"/>
      <c r="CVZ19" s="171"/>
      <c r="CWA19" s="171"/>
      <c r="CWB19" s="171"/>
      <c r="CWC19" s="171"/>
      <c r="CWD19" s="171"/>
      <c r="CWE19" s="171"/>
      <c r="CWF19" s="171"/>
      <c r="CWG19" s="171"/>
      <c r="CWH19" s="171"/>
      <c r="CWI19" s="171"/>
      <c r="CWJ19" s="171"/>
      <c r="CWK19" s="171"/>
      <c r="CWL19" s="171"/>
      <c r="CWM19" s="171"/>
      <c r="CWN19" s="171"/>
      <c r="CWO19" s="171"/>
      <c r="CWP19" s="171"/>
      <c r="CWQ19" s="171"/>
      <c r="CWR19" s="171"/>
      <c r="CWS19" s="171"/>
      <c r="CWT19" s="171"/>
      <c r="CWU19" s="171"/>
      <c r="CWV19" s="171"/>
      <c r="CWW19" s="171"/>
      <c r="CWX19" s="171"/>
      <c r="CWY19" s="171"/>
      <c r="CWZ19" s="171"/>
      <c r="CXA19" s="171"/>
      <c r="CXB19" s="171"/>
      <c r="CXC19" s="171"/>
      <c r="CXD19" s="171"/>
      <c r="CXE19" s="171"/>
      <c r="CXF19" s="171"/>
      <c r="CXG19" s="171"/>
      <c r="CXH19" s="171"/>
      <c r="CXI19" s="171"/>
      <c r="CXJ19" s="171"/>
      <c r="CXK19" s="171"/>
      <c r="CXL19" s="171"/>
      <c r="CXM19" s="171"/>
      <c r="CXN19" s="171"/>
      <c r="CXO19" s="171"/>
      <c r="CXP19" s="171"/>
      <c r="CXQ19" s="171"/>
      <c r="CXR19" s="171"/>
      <c r="CXS19" s="171"/>
      <c r="CXT19" s="171"/>
      <c r="CXU19" s="171"/>
      <c r="CXV19" s="171"/>
      <c r="CXW19" s="171"/>
      <c r="CXX19" s="171"/>
      <c r="CXY19" s="171"/>
      <c r="CXZ19" s="171"/>
      <c r="CYA19" s="171"/>
      <c r="CYB19" s="171"/>
      <c r="CYC19" s="171"/>
      <c r="CYD19" s="171"/>
      <c r="CYE19" s="171"/>
      <c r="CYF19" s="171"/>
      <c r="CYG19" s="171"/>
      <c r="CYH19" s="171"/>
      <c r="CYI19" s="171"/>
      <c r="CYJ19" s="171"/>
      <c r="CYK19" s="171"/>
      <c r="CYL19" s="171"/>
      <c r="CYM19" s="171"/>
      <c r="CYN19" s="171"/>
      <c r="CYO19" s="171"/>
      <c r="CYP19" s="171"/>
      <c r="CYQ19" s="171"/>
      <c r="CYR19" s="171"/>
      <c r="CYS19" s="171"/>
      <c r="CYT19" s="171"/>
      <c r="CYU19" s="171"/>
      <c r="CYV19" s="171"/>
      <c r="CYW19" s="171"/>
      <c r="CYX19" s="171"/>
      <c r="CYY19" s="171"/>
      <c r="CYZ19" s="171"/>
      <c r="CZA19" s="171"/>
      <c r="CZB19" s="171"/>
      <c r="CZC19" s="171"/>
      <c r="CZD19" s="171"/>
      <c r="CZE19" s="171"/>
      <c r="CZF19" s="171"/>
      <c r="CZG19" s="171"/>
      <c r="CZH19" s="171"/>
      <c r="CZI19" s="171"/>
      <c r="CZJ19" s="171"/>
      <c r="CZK19" s="171"/>
      <c r="CZL19" s="171"/>
      <c r="CZM19" s="171"/>
      <c r="CZN19" s="171"/>
      <c r="CZO19" s="171"/>
      <c r="CZP19" s="171"/>
      <c r="CZQ19" s="171"/>
      <c r="CZR19" s="171"/>
      <c r="CZS19" s="171"/>
      <c r="CZT19" s="171"/>
      <c r="CZU19" s="171"/>
      <c r="CZV19" s="171"/>
      <c r="CZW19" s="171"/>
      <c r="CZX19" s="171"/>
      <c r="CZY19" s="171"/>
      <c r="CZZ19" s="171"/>
      <c r="DAA19" s="171"/>
      <c r="DAB19" s="171"/>
      <c r="DAC19" s="171"/>
      <c r="DAD19" s="171"/>
      <c r="DAE19" s="171"/>
      <c r="DAF19" s="171"/>
      <c r="DAG19" s="171"/>
      <c r="DAH19" s="171"/>
      <c r="DAI19" s="171"/>
      <c r="DAJ19" s="171"/>
      <c r="DAK19" s="171"/>
      <c r="DAL19" s="171"/>
      <c r="DAM19" s="171"/>
      <c r="DAN19" s="171"/>
      <c r="DAO19" s="171"/>
      <c r="DAP19" s="171"/>
      <c r="DAQ19" s="171"/>
      <c r="DAR19" s="171"/>
      <c r="DAS19" s="171"/>
      <c r="DAT19" s="171"/>
      <c r="DAU19" s="171"/>
      <c r="DAV19" s="171"/>
      <c r="DAW19" s="171"/>
      <c r="DAX19" s="171"/>
      <c r="DAY19" s="171"/>
      <c r="DAZ19" s="171"/>
      <c r="DBA19" s="171"/>
      <c r="DBB19" s="171"/>
      <c r="DBC19" s="171"/>
      <c r="DBD19" s="171"/>
      <c r="DBE19" s="171"/>
      <c r="DBF19" s="171"/>
      <c r="DBG19" s="171"/>
      <c r="DBH19" s="171"/>
      <c r="DBI19" s="171"/>
      <c r="DBJ19" s="171"/>
      <c r="DBK19" s="171"/>
      <c r="DBL19" s="171"/>
      <c r="DBM19" s="171"/>
      <c r="DBN19" s="171"/>
      <c r="DBO19" s="171"/>
      <c r="DBP19" s="171"/>
      <c r="DBQ19" s="171"/>
      <c r="DBR19" s="171"/>
      <c r="DBS19" s="171"/>
      <c r="DBT19" s="171"/>
      <c r="DBU19" s="171"/>
      <c r="DBV19" s="171"/>
      <c r="DBW19" s="171"/>
      <c r="DBX19" s="171"/>
      <c r="DBY19" s="171"/>
      <c r="DBZ19" s="171"/>
      <c r="DCA19" s="171"/>
      <c r="DCB19" s="171"/>
      <c r="DCC19" s="171"/>
      <c r="DCD19" s="171"/>
      <c r="DCE19" s="171"/>
      <c r="DCF19" s="171"/>
      <c r="DCG19" s="171"/>
      <c r="DCH19" s="171"/>
      <c r="DCI19" s="171"/>
      <c r="DCJ19" s="171"/>
      <c r="DCK19" s="171"/>
      <c r="DCL19" s="171"/>
      <c r="DCM19" s="171"/>
      <c r="DCN19" s="171"/>
      <c r="DCO19" s="171"/>
      <c r="DCP19" s="171"/>
      <c r="DCQ19" s="171"/>
      <c r="DCR19" s="171"/>
      <c r="DCS19" s="171"/>
      <c r="DCT19" s="171"/>
      <c r="DCU19" s="171"/>
      <c r="DCV19" s="171"/>
      <c r="DCW19" s="171"/>
      <c r="DCX19" s="171"/>
      <c r="DCY19" s="171"/>
      <c r="DCZ19" s="171"/>
      <c r="DDA19" s="171"/>
      <c r="DDB19" s="171"/>
      <c r="DDC19" s="171"/>
      <c r="DDD19" s="171"/>
      <c r="DDE19" s="171"/>
      <c r="DDF19" s="171"/>
      <c r="DDG19" s="171"/>
      <c r="DDH19" s="171"/>
      <c r="DDI19" s="171"/>
      <c r="DDJ19" s="171"/>
      <c r="DDK19" s="171"/>
      <c r="DDL19" s="171"/>
      <c r="DDM19" s="171"/>
      <c r="DDN19" s="171"/>
      <c r="DDO19" s="171"/>
      <c r="DDP19" s="171"/>
      <c r="DDQ19" s="171"/>
      <c r="DDR19" s="171"/>
      <c r="DDS19" s="171"/>
      <c r="DDT19" s="171"/>
      <c r="DDU19" s="171"/>
      <c r="DDV19" s="171"/>
      <c r="DDW19" s="171"/>
      <c r="DDX19" s="171"/>
      <c r="DDY19" s="171"/>
      <c r="DDZ19" s="171"/>
      <c r="DEA19" s="171"/>
      <c r="DEB19" s="171"/>
      <c r="DEC19" s="171"/>
      <c r="DED19" s="171"/>
      <c r="DEE19" s="171"/>
      <c r="DEF19" s="171"/>
      <c r="DEG19" s="171"/>
      <c r="DEH19" s="171"/>
      <c r="DEI19" s="171"/>
      <c r="DEJ19" s="171"/>
      <c r="DEK19" s="171"/>
      <c r="DEL19" s="171"/>
      <c r="DEM19" s="171"/>
      <c r="DEN19" s="171"/>
      <c r="DEO19" s="171"/>
      <c r="DEP19" s="171"/>
      <c r="DEQ19" s="171"/>
      <c r="DER19" s="171"/>
      <c r="DES19" s="171"/>
      <c r="DET19" s="171"/>
      <c r="DEU19" s="171"/>
      <c r="DEV19" s="171"/>
      <c r="DEW19" s="171"/>
      <c r="DEX19" s="171"/>
      <c r="DEY19" s="171"/>
      <c r="DEZ19" s="171"/>
      <c r="DFA19" s="171"/>
      <c r="DFB19" s="171"/>
      <c r="DFC19" s="171"/>
      <c r="DFD19" s="171"/>
      <c r="DFE19" s="171"/>
      <c r="DFF19" s="171"/>
      <c r="DFG19" s="171"/>
      <c r="DFH19" s="171"/>
      <c r="DFI19" s="171"/>
      <c r="DFJ19" s="171"/>
      <c r="DFK19" s="171"/>
      <c r="DFL19" s="171"/>
      <c r="DFM19" s="171"/>
      <c r="DFN19" s="171"/>
      <c r="DFO19" s="171"/>
      <c r="DFP19" s="171"/>
      <c r="DFQ19" s="171"/>
      <c r="DFR19" s="171"/>
      <c r="DFS19" s="171"/>
      <c r="DFT19" s="171"/>
      <c r="DFU19" s="171"/>
      <c r="DFV19" s="171"/>
      <c r="DFW19" s="171"/>
      <c r="DFX19" s="171"/>
      <c r="DFY19" s="171"/>
      <c r="DFZ19" s="171"/>
      <c r="DGA19" s="171"/>
      <c r="DGB19" s="171"/>
      <c r="DGC19" s="171"/>
      <c r="DGD19" s="171"/>
      <c r="DGE19" s="171"/>
      <c r="DGF19" s="171"/>
      <c r="DGG19" s="171"/>
      <c r="DGH19" s="171"/>
      <c r="DGI19" s="171"/>
      <c r="DGJ19" s="171"/>
      <c r="DGK19" s="171"/>
      <c r="DGL19" s="171"/>
      <c r="DGM19" s="171"/>
      <c r="DGN19" s="171"/>
      <c r="DGO19" s="171"/>
      <c r="DGP19" s="171"/>
      <c r="DGQ19" s="171"/>
      <c r="DGR19" s="171"/>
      <c r="DGS19" s="171"/>
      <c r="DGT19" s="171"/>
      <c r="DGU19" s="171"/>
      <c r="DGV19" s="171"/>
      <c r="DGW19" s="171"/>
      <c r="DGX19" s="171"/>
      <c r="DGY19" s="171"/>
      <c r="DGZ19" s="171"/>
      <c r="DHA19" s="171"/>
      <c r="DHB19" s="171"/>
      <c r="DHC19" s="171"/>
      <c r="DHD19" s="171"/>
      <c r="DHE19" s="171"/>
      <c r="DHF19" s="171"/>
      <c r="DHG19" s="171"/>
      <c r="DHH19" s="171"/>
      <c r="DHI19" s="171"/>
      <c r="DHJ19" s="171"/>
      <c r="DHK19" s="171"/>
      <c r="DHL19" s="171"/>
      <c r="DHM19" s="171"/>
      <c r="DHN19" s="171"/>
      <c r="DHO19" s="171"/>
      <c r="DHP19" s="171"/>
      <c r="DHQ19" s="171"/>
      <c r="DHR19" s="171"/>
      <c r="DHS19" s="171"/>
      <c r="DHT19" s="171"/>
      <c r="DHU19" s="171"/>
      <c r="DHV19" s="171"/>
      <c r="DHW19" s="171"/>
      <c r="DHX19" s="171"/>
      <c r="DHY19" s="171"/>
      <c r="DHZ19" s="171"/>
      <c r="DIA19" s="171"/>
      <c r="DIB19" s="171"/>
      <c r="DIC19" s="171"/>
      <c r="DID19" s="171"/>
      <c r="DIE19" s="171"/>
      <c r="DIF19" s="171"/>
      <c r="DIG19" s="171"/>
      <c r="DIH19" s="171"/>
      <c r="DII19" s="171"/>
      <c r="DIJ19" s="171"/>
      <c r="DIK19" s="171"/>
      <c r="DIL19" s="171"/>
      <c r="DIM19" s="171"/>
      <c r="DIN19" s="171"/>
      <c r="DIO19" s="171"/>
      <c r="DIP19" s="171"/>
      <c r="DIQ19" s="171"/>
      <c r="DIR19" s="171"/>
      <c r="DIS19" s="171"/>
      <c r="DIT19" s="171"/>
      <c r="DIU19" s="171"/>
      <c r="DIV19" s="171"/>
      <c r="DIW19" s="171"/>
      <c r="DIX19" s="171"/>
      <c r="DIY19" s="171"/>
      <c r="DIZ19" s="171"/>
      <c r="DJA19" s="171"/>
      <c r="DJB19" s="171"/>
      <c r="DJC19" s="171"/>
      <c r="DJD19" s="171"/>
      <c r="DJE19" s="171"/>
      <c r="DJF19" s="171"/>
      <c r="DJG19" s="171"/>
      <c r="DJH19" s="171"/>
      <c r="DJI19" s="171"/>
      <c r="DJJ19" s="171"/>
      <c r="DJK19" s="171"/>
      <c r="DJL19" s="171"/>
      <c r="DJM19" s="171"/>
      <c r="DJN19" s="171"/>
      <c r="DJO19" s="171"/>
      <c r="DJP19" s="171"/>
      <c r="DJQ19" s="171"/>
      <c r="DJR19" s="171"/>
      <c r="DJS19" s="171"/>
      <c r="DJT19" s="171"/>
      <c r="DJU19" s="171"/>
      <c r="DJV19" s="171"/>
      <c r="DJW19" s="171"/>
      <c r="DJX19" s="171"/>
      <c r="DJY19" s="171"/>
      <c r="DJZ19" s="171"/>
      <c r="DKA19" s="171"/>
      <c r="DKB19" s="171"/>
      <c r="DKC19" s="171"/>
      <c r="DKD19" s="171"/>
      <c r="DKE19" s="171"/>
      <c r="DKF19" s="171"/>
      <c r="DKG19" s="171"/>
      <c r="DKH19" s="171"/>
      <c r="DKI19" s="171"/>
      <c r="DKJ19" s="171"/>
      <c r="DKK19" s="171"/>
      <c r="DKL19" s="171"/>
      <c r="DKM19" s="171"/>
      <c r="DKN19" s="171"/>
      <c r="DKO19" s="171"/>
      <c r="DKP19" s="171"/>
      <c r="DKQ19" s="171"/>
      <c r="DKR19" s="171"/>
      <c r="DKS19" s="171"/>
      <c r="DKT19" s="171"/>
      <c r="DKU19" s="171"/>
      <c r="DKV19" s="171"/>
      <c r="DKW19" s="171"/>
      <c r="DKX19" s="171"/>
      <c r="DKY19" s="171"/>
      <c r="DKZ19" s="171"/>
      <c r="DLA19" s="171"/>
      <c r="DLB19" s="171"/>
      <c r="DLC19" s="171"/>
      <c r="DLD19" s="171"/>
      <c r="DLE19" s="171"/>
      <c r="DLF19" s="171"/>
      <c r="DLG19" s="171"/>
      <c r="DLH19" s="171"/>
      <c r="DLI19" s="171"/>
      <c r="DLJ19" s="171"/>
      <c r="DLK19" s="171"/>
      <c r="DLL19" s="171"/>
      <c r="DLM19" s="171"/>
      <c r="DLN19" s="171"/>
      <c r="DLO19" s="171"/>
      <c r="DLP19" s="171"/>
      <c r="DLQ19" s="171"/>
      <c r="DLR19" s="171"/>
      <c r="DLS19" s="171"/>
      <c r="DLT19" s="171"/>
      <c r="DLU19" s="171"/>
      <c r="DLV19" s="171"/>
      <c r="DLW19" s="171"/>
      <c r="DLX19" s="171"/>
      <c r="DLY19" s="171"/>
      <c r="DLZ19" s="171"/>
      <c r="DMA19" s="171"/>
      <c r="DMB19" s="171"/>
      <c r="DMC19" s="171"/>
      <c r="DMD19" s="171"/>
      <c r="DME19" s="171"/>
      <c r="DMF19" s="171"/>
      <c r="DMG19" s="171"/>
      <c r="DMH19" s="171"/>
      <c r="DMI19" s="171"/>
      <c r="DMJ19" s="171"/>
      <c r="DMK19" s="171"/>
      <c r="DML19" s="171"/>
      <c r="DMM19" s="171"/>
      <c r="DMN19" s="171"/>
      <c r="DMO19" s="171"/>
      <c r="DMP19" s="171"/>
      <c r="DMQ19" s="171"/>
      <c r="DMR19" s="171"/>
      <c r="DMS19" s="171"/>
      <c r="DMT19" s="171"/>
      <c r="DMU19" s="171"/>
      <c r="DMV19" s="171"/>
      <c r="DMW19" s="171"/>
      <c r="DMX19" s="171"/>
      <c r="DMY19" s="171"/>
      <c r="DMZ19" s="171"/>
      <c r="DNA19" s="171"/>
      <c r="DNB19" s="171"/>
      <c r="DNC19" s="171"/>
      <c r="DND19" s="171"/>
      <c r="DNE19" s="171"/>
      <c r="DNF19" s="171"/>
      <c r="DNG19" s="171"/>
      <c r="DNH19" s="171"/>
      <c r="DNI19" s="171"/>
      <c r="DNJ19" s="171"/>
      <c r="DNK19" s="171"/>
      <c r="DNL19" s="171"/>
      <c r="DNM19" s="171"/>
      <c r="DNN19" s="171"/>
      <c r="DNO19" s="171"/>
      <c r="DNP19" s="171"/>
      <c r="DNQ19" s="171"/>
      <c r="DNR19" s="171"/>
      <c r="DNS19" s="171"/>
      <c r="DNT19" s="171"/>
      <c r="DNU19" s="171"/>
      <c r="DNV19" s="171"/>
      <c r="DNW19" s="171"/>
      <c r="DNX19" s="171"/>
      <c r="DNY19" s="171"/>
      <c r="DNZ19" s="171"/>
      <c r="DOA19" s="171"/>
      <c r="DOB19" s="171"/>
      <c r="DOC19" s="171"/>
      <c r="DOD19" s="171"/>
      <c r="DOE19" s="171"/>
      <c r="DOF19" s="171"/>
      <c r="DOG19" s="171"/>
      <c r="DOH19" s="171"/>
      <c r="DOI19" s="171"/>
      <c r="DOJ19" s="171"/>
      <c r="DOK19" s="171"/>
      <c r="DOL19" s="171"/>
      <c r="DOM19" s="171"/>
      <c r="DON19" s="171"/>
      <c r="DOO19" s="171"/>
      <c r="DOP19" s="171"/>
      <c r="DOQ19" s="171"/>
      <c r="DOR19" s="171"/>
      <c r="DOS19" s="171"/>
      <c r="DOT19" s="171"/>
      <c r="DOU19" s="171"/>
      <c r="DOV19" s="171"/>
      <c r="DOW19" s="171"/>
      <c r="DOX19" s="171"/>
      <c r="DOY19" s="171"/>
      <c r="DOZ19" s="171"/>
      <c r="DPA19" s="171"/>
      <c r="DPB19" s="171"/>
      <c r="DPC19" s="171"/>
      <c r="DPD19" s="171"/>
      <c r="DPE19" s="171"/>
      <c r="DPF19" s="171"/>
      <c r="DPG19" s="171"/>
      <c r="DPH19" s="171"/>
      <c r="DPI19" s="171"/>
      <c r="DPJ19" s="171"/>
      <c r="DPK19" s="171"/>
      <c r="DPL19" s="171"/>
      <c r="DPM19" s="171"/>
      <c r="DPN19" s="171"/>
      <c r="DPO19" s="171"/>
      <c r="DPP19" s="171"/>
      <c r="DPQ19" s="171"/>
      <c r="DPR19" s="171"/>
      <c r="DPS19" s="171"/>
      <c r="DPT19" s="171"/>
      <c r="DPU19" s="171"/>
      <c r="DPV19" s="171"/>
      <c r="DPW19" s="171"/>
      <c r="DPX19" s="171"/>
      <c r="DPY19" s="171"/>
      <c r="DPZ19" s="171"/>
      <c r="DQA19" s="171"/>
      <c r="DQB19" s="171"/>
      <c r="DQC19" s="171"/>
      <c r="DQD19" s="171"/>
      <c r="DQE19" s="171"/>
      <c r="DQF19" s="171"/>
      <c r="DQG19" s="171"/>
      <c r="DQH19" s="171"/>
      <c r="DQI19" s="171"/>
      <c r="DQJ19" s="171"/>
      <c r="DQK19" s="171"/>
      <c r="DQL19" s="171"/>
      <c r="DQM19" s="171"/>
      <c r="DQN19" s="171"/>
      <c r="DQO19" s="171"/>
      <c r="DQP19" s="171"/>
      <c r="DQQ19" s="171"/>
      <c r="DQR19" s="171"/>
      <c r="DQS19" s="171"/>
      <c r="DQT19" s="171"/>
      <c r="DQU19" s="171"/>
      <c r="DQV19" s="171"/>
      <c r="DQW19" s="171"/>
      <c r="DQX19" s="171"/>
      <c r="DQY19" s="171"/>
      <c r="DQZ19" s="171"/>
      <c r="DRA19" s="171"/>
      <c r="DRB19" s="171"/>
      <c r="DRC19" s="171"/>
      <c r="DRD19" s="171"/>
      <c r="DRE19" s="171"/>
      <c r="DRF19" s="171"/>
      <c r="DRG19" s="171"/>
      <c r="DRH19" s="171"/>
      <c r="DRI19" s="171"/>
      <c r="DRJ19" s="171"/>
      <c r="DRK19" s="171"/>
      <c r="DRL19" s="171"/>
      <c r="DRM19" s="171"/>
      <c r="DRN19" s="171"/>
      <c r="DRO19" s="171"/>
      <c r="DRP19" s="171"/>
      <c r="DRQ19" s="171"/>
      <c r="DRR19" s="171"/>
      <c r="DRS19" s="171"/>
      <c r="DRT19" s="171"/>
      <c r="DRU19" s="171"/>
      <c r="DRV19" s="171"/>
      <c r="DRW19" s="171"/>
      <c r="DRX19" s="171"/>
      <c r="DRY19" s="171"/>
      <c r="DRZ19" s="171"/>
      <c r="DSA19" s="171"/>
      <c r="DSB19" s="171"/>
      <c r="DSC19" s="171"/>
      <c r="DSD19" s="171"/>
      <c r="DSE19" s="171"/>
      <c r="DSF19" s="171"/>
      <c r="DSG19" s="171"/>
      <c r="DSH19" s="171"/>
      <c r="DSI19" s="171"/>
      <c r="DSJ19" s="171"/>
      <c r="DSK19" s="171"/>
      <c r="DSL19" s="171"/>
      <c r="DSM19" s="171"/>
      <c r="DSN19" s="171"/>
      <c r="DSO19" s="171"/>
      <c r="DSP19" s="171"/>
      <c r="DSQ19" s="171"/>
      <c r="DSR19" s="171"/>
      <c r="DSS19" s="171"/>
      <c r="DST19" s="171"/>
      <c r="DSU19" s="171"/>
      <c r="DSV19" s="171"/>
      <c r="DSW19" s="171"/>
      <c r="DSX19" s="171"/>
      <c r="DSY19" s="171"/>
      <c r="DSZ19" s="171"/>
      <c r="DTA19" s="171"/>
      <c r="DTB19" s="171"/>
      <c r="DTC19" s="171"/>
      <c r="DTD19" s="171"/>
      <c r="DTE19" s="171"/>
      <c r="DTF19" s="171"/>
      <c r="DTG19" s="171"/>
      <c r="DTH19" s="171"/>
      <c r="DTI19" s="171"/>
      <c r="DTJ19" s="171"/>
      <c r="DTK19" s="171"/>
      <c r="DTL19" s="171"/>
      <c r="DTM19" s="171"/>
      <c r="DTN19" s="171"/>
      <c r="DTO19" s="171"/>
      <c r="DTP19" s="171"/>
      <c r="DTQ19" s="171"/>
      <c r="DTR19" s="171"/>
      <c r="DTS19" s="171"/>
      <c r="DTT19" s="171"/>
      <c r="DTU19" s="171"/>
      <c r="DTV19" s="171"/>
      <c r="DTW19" s="171"/>
      <c r="DTX19" s="171"/>
      <c r="DTY19" s="171"/>
      <c r="DTZ19" s="171"/>
      <c r="DUA19" s="171"/>
      <c r="DUB19" s="171"/>
      <c r="DUC19" s="171"/>
      <c r="DUD19" s="171"/>
      <c r="DUE19" s="171"/>
      <c r="DUF19" s="171"/>
      <c r="DUG19" s="171"/>
      <c r="DUH19" s="171"/>
      <c r="DUI19" s="171"/>
      <c r="DUJ19" s="171"/>
      <c r="DUK19" s="171"/>
      <c r="DUL19" s="171"/>
      <c r="DUM19" s="171"/>
      <c r="DUN19" s="171"/>
      <c r="DUO19" s="171"/>
      <c r="DUP19" s="171"/>
      <c r="DUQ19" s="171"/>
      <c r="DUR19" s="171"/>
      <c r="DUS19" s="171"/>
      <c r="DUT19" s="171"/>
      <c r="DUU19" s="171"/>
      <c r="DUV19" s="171"/>
      <c r="DUW19" s="171"/>
      <c r="DUX19" s="171"/>
      <c r="DUY19" s="171"/>
      <c r="DUZ19" s="171"/>
      <c r="DVA19" s="171"/>
      <c r="DVB19" s="171"/>
      <c r="DVC19" s="171"/>
      <c r="DVD19" s="171"/>
      <c r="DVE19" s="171"/>
      <c r="DVF19" s="171"/>
      <c r="DVG19" s="171"/>
      <c r="DVH19" s="171"/>
      <c r="DVI19" s="171"/>
      <c r="DVJ19" s="171"/>
      <c r="DVK19" s="171"/>
      <c r="DVL19" s="171"/>
      <c r="DVM19" s="171"/>
      <c r="DVN19" s="171"/>
      <c r="DVO19" s="171"/>
      <c r="DVP19" s="171"/>
      <c r="DVQ19" s="171"/>
      <c r="DVR19" s="171"/>
      <c r="DVS19" s="171"/>
      <c r="DVT19" s="171"/>
      <c r="DVU19" s="171"/>
      <c r="DVV19" s="171"/>
      <c r="DVW19" s="171"/>
      <c r="DVX19" s="171"/>
      <c r="DVY19" s="171"/>
      <c r="DVZ19" s="171"/>
      <c r="DWA19" s="171"/>
      <c r="DWB19" s="171"/>
      <c r="DWC19" s="171"/>
      <c r="DWD19" s="171"/>
      <c r="DWE19" s="171"/>
      <c r="DWF19" s="171"/>
      <c r="DWG19" s="171"/>
      <c r="DWH19" s="171"/>
      <c r="DWI19" s="171"/>
      <c r="DWJ19" s="171"/>
      <c r="DWK19" s="171"/>
      <c r="DWL19" s="171"/>
      <c r="DWM19" s="171"/>
      <c r="DWN19" s="171"/>
      <c r="DWO19" s="171"/>
      <c r="DWP19" s="171"/>
      <c r="DWQ19" s="171"/>
      <c r="DWR19" s="171"/>
      <c r="DWS19" s="171"/>
      <c r="DWT19" s="171"/>
      <c r="DWU19" s="171"/>
      <c r="DWV19" s="171"/>
      <c r="DWW19" s="171"/>
      <c r="DWX19" s="171"/>
      <c r="DWY19" s="171"/>
      <c r="DWZ19" s="171"/>
      <c r="DXA19" s="171"/>
      <c r="DXB19" s="171"/>
      <c r="DXC19" s="171"/>
      <c r="DXD19" s="171"/>
      <c r="DXE19" s="171"/>
      <c r="DXF19" s="171"/>
      <c r="DXG19" s="171"/>
      <c r="DXH19" s="171"/>
      <c r="DXI19" s="171"/>
      <c r="DXJ19" s="171"/>
      <c r="DXK19" s="171"/>
      <c r="DXL19" s="171"/>
      <c r="DXM19" s="171"/>
      <c r="DXN19" s="171"/>
      <c r="DXO19" s="171"/>
      <c r="DXP19" s="171"/>
      <c r="DXQ19" s="171"/>
      <c r="DXR19" s="171"/>
      <c r="DXS19" s="171"/>
      <c r="DXT19" s="171"/>
      <c r="DXU19" s="171"/>
      <c r="DXV19" s="171"/>
      <c r="DXW19" s="171"/>
      <c r="DXX19" s="171"/>
      <c r="DXY19" s="171"/>
      <c r="DXZ19" s="171"/>
      <c r="DYA19" s="171"/>
      <c r="DYB19" s="171"/>
      <c r="DYC19" s="171"/>
      <c r="DYD19" s="171"/>
      <c r="DYE19" s="171"/>
      <c r="DYF19" s="171"/>
      <c r="DYG19" s="171"/>
      <c r="DYH19" s="171"/>
      <c r="DYI19" s="171"/>
      <c r="DYJ19" s="171"/>
      <c r="DYK19" s="171"/>
      <c r="DYL19" s="171"/>
      <c r="DYM19" s="171"/>
      <c r="DYN19" s="171"/>
      <c r="DYO19" s="171"/>
      <c r="DYP19" s="171"/>
      <c r="DYQ19" s="171"/>
      <c r="DYR19" s="171"/>
      <c r="DYS19" s="171"/>
      <c r="DYT19" s="171"/>
      <c r="DYU19" s="171"/>
      <c r="DYV19" s="171"/>
      <c r="DYW19" s="171"/>
      <c r="DYX19" s="171"/>
      <c r="DYY19" s="171"/>
      <c r="DYZ19" s="171"/>
      <c r="DZA19" s="171"/>
      <c r="DZB19" s="171"/>
      <c r="DZC19" s="171"/>
      <c r="DZD19" s="171"/>
      <c r="DZE19" s="171"/>
      <c r="DZF19" s="171"/>
      <c r="DZG19" s="171"/>
      <c r="DZH19" s="171"/>
      <c r="DZI19" s="171"/>
      <c r="DZJ19" s="171"/>
      <c r="DZK19" s="171"/>
      <c r="DZL19" s="171"/>
      <c r="DZM19" s="171"/>
      <c r="DZN19" s="171"/>
      <c r="DZO19" s="171"/>
      <c r="DZP19" s="171"/>
      <c r="DZQ19" s="171"/>
      <c r="DZR19" s="171"/>
      <c r="DZS19" s="171"/>
      <c r="DZT19" s="171"/>
      <c r="DZU19" s="171"/>
      <c r="DZV19" s="171"/>
      <c r="DZW19" s="171"/>
      <c r="DZX19" s="171"/>
      <c r="DZY19" s="171"/>
      <c r="DZZ19" s="171"/>
      <c r="EAA19" s="171"/>
      <c r="EAB19" s="171"/>
      <c r="EAC19" s="171"/>
      <c r="EAD19" s="171"/>
      <c r="EAE19" s="171"/>
      <c r="EAF19" s="171"/>
      <c r="EAG19" s="171"/>
      <c r="EAH19" s="171"/>
      <c r="EAI19" s="171"/>
      <c r="EAJ19" s="171"/>
      <c r="EAK19" s="171"/>
      <c r="EAL19" s="171"/>
      <c r="EAM19" s="171"/>
      <c r="EAN19" s="171"/>
      <c r="EAO19" s="171"/>
      <c r="EAP19" s="171"/>
      <c r="EAQ19" s="171"/>
      <c r="EAR19" s="171"/>
      <c r="EAS19" s="171"/>
      <c r="EAT19" s="171"/>
      <c r="EAU19" s="171"/>
      <c r="EAV19" s="171"/>
      <c r="EAW19" s="171"/>
      <c r="EAX19" s="171"/>
      <c r="EAY19" s="171"/>
      <c r="EAZ19" s="171"/>
      <c r="EBA19" s="171"/>
      <c r="EBB19" s="171"/>
      <c r="EBC19" s="171"/>
      <c r="EBD19" s="171"/>
      <c r="EBE19" s="171"/>
      <c r="EBF19" s="171"/>
      <c r="EBG19" s="171"/>
      <c r="EBH19" s="171"/>
      <c r="EBI19" s="171"/>
      <c r="EBJ19" s="171"/>
      <c r="EBK19" s="171"/>
      <c r="EBL19" s="171"/>
      <c r="EBM19" s="171"/>
      <c r="EBN19" s="171"/>
      <c r="EBO19" s="171"/>
      <c r="EBP19" s="171"/>
      <c r="EBQ19" s="171"/>
      <c r="EBR19" s="171"/>
      <c r="EBS19" s="171"/>
      <c r="EBT19" s="171"/>
      <c r="EBU19" s="171"/>
      <c r="EBV19" s="171"/>
      <c r="EBW19" s="171"/>
      <c r="EBX19" s="171"/>
      <c r="EBY19" s="171"/>
      <c r="EBZ19" s="171"/>
      <c r="ECA19" s="171"/>
      <c r="ECB19" s="171"/>
      <c r="ECC19" s="171"/>
      <c r="ECD19" s="171"/>
      <c r="ECE19" s="171"/>
      <c r="ECF19" s="171"/>
      <c r="ECG19" s="171"/>
      <c r="ECH19" s="171"/>
      <c r="ECI19" s="171"/>
      <c r="ECJ19" s="171"/>
      <c r="ECK19" s="171"/>
      <c r="ECL19" s="171"/>
      <c r="ECM19" s="171"/>
      <c r="ECN19" s="171"/>
      <c r="ECO19" s="171"/>
      <c r="ECP19" s="171"/>
      <c r="ECQ19" s="171"/>
      <c r="ECR19" s="171"/>
      <c r="ECS19" s="171"/>
      <c r="ECT19" s="171"/>
      <c r="ECU19" s="171"/>
      <c r="ECV19" s="171"/>
      <c r="ECW19" s="171"/>
      <c r="ECX19" s="171"/>
      <c r="ECY19" s="171"/>
      <c r="ECZ19" s="171"/>
      <c r="EDA19" s="171"/>
      <c r="EDB19" s="171"/>
      <c r="EDC19" s="171"/>
      <c r="EDD19" s="171"/>
      <c r="EDE19" s="171"/>
      <c r="EDF19" s="171"/>
      <c r="EDG19" s="171"/>
      <c r="EDH19" s="171"/>
      <c r="EDI19" s="171"/>
      <c r="EDJ19" s="171"/>
      <c r="EDK19" s="171"/>
      <c r="EDL19" s="171"/>
      <c r="EDM19" s="171"/>
      <c r="EDN19" s="171"/>
      <c r="EDO19" s="171"/>
      <c r="EDP19" s="171"/>
      <c r="EDQ19" s="171"/>
      <c r="EDR19" s="171"/>
      <c r="EDS19" s="171"/>
      <c r="EDT19" s="171"/>
      <c r="EDU19" s="171"/>
      <c r="EDV19" s="171"/>
      <c r="EDW19" s="171"/>
      <c r="EDX19" s="171"/>
      <c r="EDY19" s="171"/>
      <c r="EDZ19" s="171"/>
      <c r="EEA19" s="171"/>
      <c r="EEB19" s="171"/>
      <c r="EEC19" s="171"/>
      <c r="EED19" s="171"/>
      <c r="EEE19" s="171"/>
      <c r="EEF19" s="171"/>
      <c r="EEG19" s="171"/>
      <c r="EEH19" s="171"/>
      <c r="EEI19" s="171"/>
      <c r="EEJ19" s="171"/>
      <c r="EEK19" s="171"/>
      <c r="EEL19" s="171"/>
      <c r="EEM19" s="171"/>
      <c r="EEN19" s="171"/>
      <c r="EEO19" s="171"/>
      <c r="EEP19" s="171"/>
      <c r="EEQ19" s="171"/>
      <c r="EER19" s="171"/>
      <c r="EES19" s="171"/>
      <c r="EET19" s="171"/>
      <c r="EEU19" s="171"/>
      <c r="EEV19" s="171"/>
      <c r="EEW19" s="171"/>
      <c r="EEX19" s="171"/>
      <c r="EEY19" s="171"/>
      <c r="EEZ19" s="171"/>
      <c r="EFA19" s="171"/>
      <c r="EFB19" s="171"/>
      <c r="EFC19" s="171"/>
      <c r="EFD19" s="171"/>
      <c r="EFE19" s="171"/>
      <c r="EFF19" s="171"/>
      <c r="EFG19" s="171"/>
      <c r="EFH19" s="171"/>
      <c r="EFI19" s="171"/>
      <c r="EFJ19" s="171"/>
      <c r="EFK19" s="171"/>
      <c r="EFL19" s="171"/>
      <c r="EFM19" s="171"/>
      <c r="EFN19" s="171"/>
      <c r="EFO19" s="171"/>
      <c r="EFP19" s="171"/>
      <c r="EFQ19" s="171"/>
      <c r="EFR19" s="171"/>
      <c r="EFS19" s="171"/>
      <c r="EFT19" s="171"/>
      <c r="EFU19" s="171"/>
      <c r="EFV19" s="171"/>
      <c r="EFW19" s="171"/>
      <c r="EFX19" s="171"/>
      <c r="EFY19" s="171"/>
      <c r="EFZ19" s="171"/>
      <c r="EGA19" s="171"/>
      <c r="EGB19" s="171"/>
      <c r="EGC19" s="171"/>
      <c r="EGD19" s="171"/>
      <c r="EGE19" s="171"/>
      <c r="EGF19" s="171"/>
      <c r="EGG19" s="171"/>
      <c r="EGH19" s="171"/>
      <c r="EGI19" s="171"/>
      <c r="EGJ19" s="171"/>
      <c r="EGK19" s="171"/>
      <c r="EGL19" s="171"/>
      <c r="EGM19" s="171"/>
      <c r="EGN19" s="171"/>
      <c r="EGO19" s="171"/>
      <c r="EGP19" s="171"/>
      <c r="EGQ19" s="171"/>
      <c r="EGR19" s="171"/>
      <c r="EGS19" s="171"/>
      <c r="EGT19" s="171"/>
      <c r="EGU19" s="171"/>
      <c r="EGV19" s="171"/>
      <c r="EGW19" s="171"/>
      <c r="EGX19" s="171"/>
      <c r="EGY19" s="171"/>
      <c r="EGZ19" s="171"/>
      <c r="EHA19" s="171"/>
      <c r="EHB19" s="171"/>
      <c r="EHC19" s="171"/>
      <c r="EHD19" s="171"/>
      <c r="EHE19" s="171"/>
      <c r="EHF19" s="171"/>
      <c r="EHG19" s="171"/>
      <c r="EHH19" s="171"/>
      <c r="EHI19" s="171"/>
      <c r="EHJ19" s="171"/>
      <c r="EHK19" s="171"/>
      <c r="EHL19" s="171"/>
      <c r="EHM19" s="171"/>
      <c r="EHN19" s="171"/>
      <c r="EHO19" s="171"/>
      <c r="EHP19" s="171"/>
      <c r="EHQ19" s="171"/>
      <c r="EHR19" s="171"/>
      <c r="EHS19" s="171"/>
      <c r="EHT19" s="171"/>
      <c r="EHU19" s="171"/>
      <c r="EHV19" s="171"/>
      <c r="EHW19" s="171"/>
      <c r="EHX19" s="171"/>
      <c r="EHY19" s="171"/>
      <c r="EHZ19" s="171"/>
      <c r="EIA19" s="171"/>
      <c r="EIB19" s="171"/>
      <c r="EIC19" s="171"/>
      <c r="EID19" s="171"/>
      <c r="EIE19" s="171"/>
      <c r="EIF19" s="171"/>
      <c r="EIG19" s="171"/>
      <c r="EIH19" s="171"/>
      <c r="EII19" s="171"/>
      <c r="EIJ19" s="171"/>
      <c r="EIK19" s="171"/>
      <c r="EIL19" s="171"/>
      <c r="EIM19" s="171"/>
      <c r="EIN19" s="171"/>
      <c r="EIO19" s="171"/>
      <c r="EIP19" s="171"/>
      <c r="EIQ19" s="171"/>
      <c r="EIR19" s="171"/>
      <c r="EIS19" s="171"/>
      <c r="EIT19" s="171"/>
      <c r="EIU19" s="171"/>
      <c r="EIV19" s="171"/>
      <c r="EIW19" s="171"/>
      <c r="EIX19" s="171"/>
      <c r="EIY19" s="171"/>
      <c r="EIZ19" s="171"/>
      <c r="EJA19" s="171"/>
      <c r="EJB19" s="171"/>
      <c r="EJC19" s="171"/>
      <c r="EJD19" s="171"/>
      <c r="EJE19" s="171"/>
      <c r="EJF19" s="171"/>
      <c r="EJG19" s="171"/>
      <c r="EJH19" s="171"/>
      <c r="EJI19" s="171"/>
      <c r="EJJ19" s="171"/>
      <c r="EJK19" s="171"/>
      <c r="EJL19" s="171"/>
      <c r="EJM19" s="171"/>
      <c r="EJN19" s="171"/>
      <c r="EJO19" s="171"/>
      <c r="EJP19" s="171"/>
      <c r="EJQ19" s="171"/>
      <c r="EJR19" s="171"/>
      <c r="EJS19" s="171"/>
      <c r="EJT19" s="171"/>
      <c r="EJU19" s="171"/>
      <c r="EJV19" s="171"/>
      <c r="EJW19" s="171"/>
      <c r="EJX19" s="171"/>
      <c r="EJY19" s="171"/>
      <c r="EJZ19" s="171"/>
      <c r="EKA19" s="171"/>
      <c r="EKB19" s="171"/>
      <c r="EKC19" s="171"/>
      <c r="EKD19" s="171"/>
      <c r="EKE19" s="171"/>
      <c r="EKF19" s="171"/>
      <c r="EKG19" s="171"/>
      <c r="EKH19" s="171"/>
      <c r="EKI19" s="171"/>
      <c r="EKJ19" s="171"/>
      <c r="EKK19" s="171"/>
      <c r="EKL19" s="171"/>
      <c r="EKM19" s="171"/>
      <c r="EKN19" s="171"/>
      <c r="EKO19" s="171"/>
      <c r="EKP19" s="171"/>
      <c r="EKQ19" s="171"/>
      <c r="EKR19" s="171"/>
      <c r="EKS19" s="171"/>
      <c r="EKT19" s="171"/>
      <c r="EKU19" s="171"/>
      <c r="EKV19" s="171"/>
      <c r="EKW19" s="171"/>
      <c r="EKX19" s="171"/>
      <c r="EKY19" s="171"/>
      <c r="EKZ19" s="171"/>
      <c r="ELA19" s="171"/>
      <c r="ELB19" s="171"/>
      <c r="ELC19" s="171"/>
      <c r="ELD19" s="171"/>
      <c r="ELE19" s="171"/>
      <c r="ELF19" s="171"/>
      <c r="ELG19" s="171"/>
      <c r="ELH19" s="171"/>
      <c r="ELI19" s="171"/>
      <c r="ELJ19" s="171"/>
      <c r="ELK19" s="171"/>
      <c r="ELL19" s="171"/>
      <c r="ELM19" s="171"/>
      <c r="ELN19" s="171"/>
      <c r="ELO19" s="171"/>
      <c r="ELP19" s="171"/>
      <c r="ELQ19" s="171"/>
      <c r="ELR19" s="171"/>
      <c r="ELS19" s="171"/>
      <c r="ELT19" s="171"/>
      <c r="ELU19" s="171"/>
      <c r="ELV19" s="171"/>
      <c r="ELW19" s="171"/>
      <c r="ELX19" s="171"/>
      <c r="ELY19" s="171"/>
      <c r="ELZ19" s="171"/>
      <c r="EMA19" s="171"/>
      <c r="EMB19" s="171"/>
      <c r="EMC19" s="171"/>
      <c r="EMD19" s="171"/>
      <c r="EME19" s="171"/>
      <c r="EMF19" s="171"/>
      <c r="EMG19" s="171"/>
      <c r="EMH19" s="171"/>
      <c r="EMI19" s="171"/>
      <c r="EMJ19" s="171"/>
      <c r="EMK19" s="171"/>
      <c r="EML19" s="171"/>
      <c r="EMM19" s="171"/>
      <c r="EMN19" s="171"/>
      <c r="EMO19" s="171"/>
      <c r="EMP19" s="171"/>
      <c r="EMQ19" s="171"/>
      <c r="EMR19" s="171"/>
      <c r="EMS19" s="171"/>
      <c r="EMT19" s="171"/>
      <c r="EMU19" s="171"/>
      <c r="EMV19" s="171"/>
      <c r="EMW19" s="171"/>
      <c r="EMX19" s="171"/>
      <c r="EMY19" s="171"/>
      <c r="EMZ19" s="171"/>
      <c r="ENA19" s="171"/>
      <c r="ENB19" s="171"/>
      <c r="ENC19" s="171"/>
      <c r="END19" s="171"/>
      <c r="ENE19" s="171"/>
      <c r="ENF19" s="171"/>
      <c r="ENG19" s="171"/>
      <c r="ENH19" s="171"/>
      <c r="ENI19" s="171"/>
      <c r="ENJ19" s="171"/>
      <c r="ENK19" s="171"/>
      <c r="ENL19" s="171"/>
      <c r="ENM19" s="171"/>
      <c r="ENN19" s="171"/>
      <c r="ENO19" s="171"/>
      <c r="ENP19" s="171"/>
      <c r="ENQ19" s="171"/>
      <c r="ENR19" s="171"/>
      <c r="ENS19" s="171"/>
      <c r="ENT19" s="171"/>
      <c r="ENU19" s="171"/>
      <c r="ENV19" s="171"/>
      <c r="ENW19" s="171"/>
      <c r="ENX19" s="171"/>
      <c r="ENY19" s="171"/>
      <c r="ENZ19" s="171"/>
      <c r="EOA19" s="171"/>
      <c r="EOB19" s="171"/>
      <c r="EOC19" s="171"/>
      <c r="EOD19" s="171"/>
      <c r="EOE19" s="171"/>
      <c r="EOF19" s="171"/>
      <c r="EOG19" s="171"/>
      <c r="EOH19" s="171"/>
      <c r="EOI19" s="171"/>
      <c r="EOJ19" s="171"/>
      <c r="EOK19" s="171"/>
      <c r="EOL19" s="171"/>
      <c r="EOM19" s="171"/>
      <c r="EON19" s="171"/>
      <c r="EOO19" s="171"/>
      <c r="EOP19" s="171"/>
      <c r="EOQ19" s="171"/>
      <c r="EOR19" s="171"/>
      <c r="EOS19" s="171"/>
      <c r="EOT19" s="171"/>
      <c r="EOU19" s="171"/>
      <c r="EOV19" s="171"/>
      <c r="EOW19" s="171"/>
      <c r="EOX19" s="171"/>
      <c r="EOY19" s="171"/>
      <c r="EOZ19" s="171"/>
      <c r="EPA19" s="171"/>
      <c r="EPB19" s="171"/>
      <c r="EPC19" s="171"/>
      <c r="EPD19" s="171"/>
      <c r="EPE19" s="171"/>
      <c r="EPF19" s="171"/>
      <c r="EPG19" s="171"/>
      <c r="EPH19" s="171"/>
      <c r="EPI19" s="171"/>
      <c r="EPJ19" s="171"/>
      <c r="EPK19" s="171"/>
      <c r="EPL19" s="171"/>
      <c r="EPM19" s="171"/>
      <c r="EPN19" s="171"/>
      <c r="EPO19" s="171"/>
      <c r="EPP19" s="171"/>
      <c r="EPQ19" s="171"/>
      <c r="EPR19" s="171"/>
      <c r="EPS19" s="171"/>
      <c r="EPT19" s="171"/>
      <c r="EPU19" s="171"/>
      <c r="EPV19" s="171"/>
      <c r="EPW19" s="171"/>
      <c r="EPX19" s="171"/>
      <c r="EPY19" s="171"/>
      <c r="EPZ19" s="171"/>
      <c r="EQA19" s="171"/>
      <c r="EQB19" s="171"/>
      <c r="EQC19" s="171"/>
      <c r="EQD19" s="171"/>
      <c r="EQE19" s="171"/>
      <c r="EQF19" s="171"/>
      <c r="EQG19" s="171"/>
      <c r="EQH19" s="171"/>
      <c r="EQI19" s="171"/>
      <c r="EQJ19" s="171"/>
      <c r="EQK19" s="171"/>
      <c r="EQL19" s="171"/>
      <c r="EQM19" s="171"/>
      <c r="EQN19" s="171"/>
      <c r="EQO19" s="171"/>
      <c r="EQP19" s="171"/>
      <c r="EQQ19" s="171"/>
      <c r="EQR19" s="171"/>
      <c r="EQS19" s="171"/>
      <c r="EQT19" s="171"/>
      <c r="EQU19" s="171"/>
      <c r="EQV19" s="171"/>
      <c r="EQW19" s="171"/>
      <c r="EQX19" s="171"/>
      <c r="EQY19" s="171"/>
      <c r="EQZ19" s="171"/>
      <c r="ERA19" s="171"/>
      <c r="ERB19" s="171"/>
      <c r="ERC19" s="171"/>
      <c r="ERD19" s="171"/>
      <c r="ERE19" s="171"/>
      <c r="ERF19" s="171"/>
      <c r="ERG19" s="171"/>
      <c r="ERH19" s="171"/>
      <c r="ERI19" s="171"/>
      <c r="ERJ19" s="171"/>
      <c r="ERK19" s="171"/>
      <c r="ERL19" s="171"/>
      <c r="ERM19" s="171"/>
      <c r="ERN19" s="171"/>
      <c r="ERO19" s="171"/>
      <c r="ERP19" s="171"/>
      <c r="ERQ19" s="171"/>
      <c r="ERR19" s="171"/>
      <c r="ERS19" s="171"/>
      <c r="ERT19" s="171"/>
      <c r="ERU19" s="171"/>
      <c r="ERV19" s="171"/>
      <c r="ERW19" s="171"/>
      <c r="ERX19" s="171"/>
      <c r="ERY19" s="171"/>
      <c r="ERZ19" s="171"/>
      <c r="ESA19" s="171"/>
      <c r="ESB19" s="171"/>
      <c r="ESC19" s="171"/>
      <c r="ESD19" s="171"/>
      <c r="ESE19" s="171"/>
      <c r="ESF19" s="171"/>
      <c r="ESG19" s="171"/>
      <c r="ESH19" s="171"/>
      <c r="ESI19" s="171"/>
      <c r="ESJ19" s="171"/>
      <c r="ESK19" s="171"/>
      <c r="ESL19" s="171"/>
      <c r="ESM19" s="171"/>
      <c r="ESN19" s="171"/>
      <c r="ESO19" s="171"/>
      <c r="ESP19" s="171"/>
      <c r="ESQ19" s="171"/>
      <c r="ESR19" s="171"/>
      <c r="ESS19" s="171"/>
      <c r="EST19" s="171"/>
      <c r="ESU19" s="171"/>
      <c r="ESV19" s="171"/>
      <c r="ESW19" s="171"/>
      <c r="ESX19" s="171"/>
      <c r="ESY19" s="171"/>
      <c r="ESZ19" s="171"/>
      <c r="ETA19" s="171"/>
      <c r="ETB19" s="171"/>
      <c r="ETC19" s="171"/>
      <c r="ETD19" s="171"/>
      <c r="ETE19" s="171"/>
      <c r="ETF19" s="171"/>
      <c r="ETG19" s="171"/>
      <c r="ETH19" s="171"/>
      <c r="ETI19" s="171"/>
      <c r="ETJ19" s="171"/>
      <c r="ETK19" s="171"/>
      <c r="ETL19" s="171"/>
      <c r="ETM19" s="171"/>
      <c r="ETN19" s="171"/>
      <c r="ETO19" s="171"/>
      <c r="ETP19" s="171"/>
      <c r="ETQ19" s="171"/>
      <c r="ETR19" s="171"/>
      <c r="ETS19" s="171"/>
      <c r="ETT19" s="171"/>
      <c r="ETU19" s="171"/>
      <c r="ETV19" s="171"/>
      <c r="ETW19" s="171"/>
      <c r="ETX19" s="171"/>
      <c r="ETY19" s="171"/>
      <c r="ETZ19" s="171"/>
      <c r="EUA19" s="171"/>
      <c r="EUB19" s="171"/>
      <c r="EUC19" s="171"/>
      <c r="EUD19" s="171"/>
      <c r="EUE19" s="171"/>
      <c r="EUF19" s="171"/>
      <c r="EUG19" s="171"/>
      <c r="EUH19" s="171"/>
      <c r="EUI19" s="171"/>
      <c r="EUJ19" s="171"/>
      <c r="EUK19" s="171"/>
      <c r="EUL19" s="171"/>
      <c r="EUM19" s="171"/>
      <c r="EUN19" s="171"/>
      <c r="EUO19" s="171"/>
      <c r="EUP19" s="171"/>
      <c r="EUQ19" s="171"/>
      <c r="EUR19" s="171"/>
      <c r="EUS19" s="171"/>
      <c r="EUT19" s="171"/>
      <c r="EUU19" s="171"/>
      <c r="EUV19" s="171"/>
      <c r="EUW19" s="171"/>
      <c r="EUX19" s="171"/>
      <c r="EUY19" s="171"/>
      <c r="EUZ19" s="171"/>
      <c r="EVA19" s="171"/>
      <c r="EVB19" s="171"/>
      <c r="EVC19" s="171"/>
      <c r="EVD19" s="171"/>
      <c r="EVE19" s="171"/>
      <c r="EVF19" s="171"/>
      <c r="EVG19" s="171"/>
      <c r="EVH19" s="171"/>
      <c r="EVI19" s="171"/>
      <c r="EVJ19" s="171"/>
      <c r="EVK19" s="171"/>
      <c r="EVL19" s="171"/>
      <c r="EVM19" s="171"/>
      <c r="EVN19" s="171"/>
      <c r="EVO19" s="171"/>
      <c r="EVP19" s="171"/>
      <c r="EVQ19" s="171"/>
      <c r="EVR19" s="171"/>
      <c r="EVS19" s="171"/>
      <c r="EVT19" s="171"/>
      <c r="EVU19" s="171"/>
      <c r="EVV19" s="171"/>
      <c r="EVW19" s="171"/>
      <c r="EVX19" s="171"/>
      <c r="EVY19" s="171"/>
      <c r="EVZ19" s="171"/>
      <c r="EWA19" s="171"/>
      <c r="EWB19" s="171"/>
      <c r="EWC19" s="171"/>
      <c r="EWD19" s="171"/>
      <c r="EWE19" s="171"/>
      <c r="EWF19" s="171"/>
      <c r="EWG19" s="171"/>
      <c r="EWH19" s="171"/>
      <c r="EWI19" s="171"/>
      <c r="EWJ19" s="171"/>
      <c r="EWK19" s="171"/>
      <c r="EWL19" s="171"/>
      <c r="EWM19" s="171"/>
      <c r="EWN19" s="171"/>
      <c r="EWO19" s="171"/>
      <c r="EWP19" s="171"/>
      <c r="EWQ19" s="171"/>
      <c r="EWR19" s="171"/>
      <c r="EWS19" s="171"/>
      <c r="EWT19" s="171"/>
      <c r="EWU19" s="171"/>
      <c r="EWV19" s="171"/>
      <c r="EWW19" s="171"/>
      <c r="EWX19" s="171"/>
      <c r="EWY19" s="171"/>
      <c r="EWZ19" s="171"/>
      <c r="EXA19" s="171"/>
      <c r="EXB19" s="171"/>
      <c r="EXC19" s="171"/>
      <c r="EXD19" s="171"/>
      <c r="EXE19" s="171"/>
      <c r="EXF19" s="171"/>
      <c r="EXG19" s="171"/>
      <c r="EXH19" s="171"/>
      <c r="EXI19" s="171"/>
      <c r="EXJ19" s="171"/>
      <c r="EXK19" s="171"/>
      <c r="EXL19" s="171"/>
      <c r="EXM19" s="171"/>
      <c r="EXN19" s="171"/>
      <c r="EXO19" s="171"/>
      <c r="EXP19" s="171"/>
      <c r="EXQ19" s="171"/>
      <c r="EXR19" s="171"/>
      <c r="EXS19" s="171"/>
      <c r="EXT19" s="171"/>
      <c r="EXU19" s="171"/>
      <c r="EXV19" s="171"/>
      <c r="EXW19" s="171"/>
      <c r="EXX19" s="171"/>
      <c r="EXY19" s="171"/>
      <c r="EXZ19" s="171"/>
      <c r="EYA19" s="171"/>
      <c r="EYB19" s="171"/>
      <c r="EYC19" s="171"/>
      <c r="EYD19" s="171"/>
      <c r="EYE19" s="171"/>
      <c r="EYF19" s="171"/>
      <c r="EYG19" s="171"/>
      <c r="EYH19" s="171"/>
      <c r="EYI19" s="171"/>
      <c r="EYJ19" s="171"/>
      <c r="EYK19" s="171"/>
      <c r="EYL19" s="171"/>
      <c r="EYM19" s="171"/>
      <c r="EYN19" s="171"/>
      <c r="EYO19" s="171"/>
      <c r="EYP19" s="171"/>
      <c r="EYQ19" s="171"/>
      <c r="EYR19" s="171"/>
      <c r="EYS19" s="171"/>
      <c r="EYT19" s="171"/>
      <c r="EYU19" s="171"/>
      <c r="EYV19" s="171"/>
      <c r="EYW19" s="171"/>
      <c r="EYX19" s="171"/>
      <c r="EYY19" s="171"/>
      <c r="EYZ19" s="171"/>
      <c r="EZA19" s="171"/>
      <c r="EZB19" s="171"/>
      <c r="EZC19" s="171"/>
      <c r="EZD19" s="171"/>
      <c r="EZE19" s="171"/>
      <c r="EZF19" s="171"/>
      <c r="EZG19" s="171"/>
      <c r="EZH19" s="171"/>
      <c r="EZI19" s="171"/>
      <c r="EZJ19" s="171"/>
      <c r="EZK19" s="171"/>
      <c r="EZL19" s="171"/>
      <c r="EZM19" s="171"/>
      <c r="EZN19" s="171"/>
      <c r="EZO19" s="171"/>
      <c r="EZP19" s="171"/>
      <c r="EZQ19" s="171"/>
      <c r="EZR19" s="171"/>
      <c r="EZS19" s="171"/>
      <c r="EZT19" s="171"/>
      <c r="EZU19" s="171"/>
      <c r="EZV19" s="171"/>
      <c r="EZW19" s="171"/>
      <c r="EZX19" s="171"/>
      <c r="EZY19" s="171"/>
      <c r="EZZ19" s="171"/>
      <c r="FAA19" s="171"/>
      <c r="FAB19" s="171"/>
      <c r="FAC19" s="171"/>
      <c r="FAD19" s="171"/>
      <c r="FAE19" s="171"/>
      <c r="FAF19" s="171"/>
      <c r="FAG19" s="171"/>
      <c r="FAH19" s="171"/>
      <c r="FAI19" s="171"/>
      <c r="FAJ19" s="171"/>
      <c r="FAK19" s="171"/>
      <c r="FAL19" s="171"/>
      <c r="FAM19" s="171"/>
      <c r="FAN19" s="171"/>
      <c r="FAO19" s="171"/>
      <c r="FAP19" s="171"/>
      <c r="FAQ19" s="171"/>
      <c r="FAR19" s="171"/>
      <c r="FAS19" s="171"/>
      <c r="FAT19" s="171"/>
      <c r="FAU19" s="171"/>
      <c r="FAV19" s="171"/>
      <c r="FAW19" s="171"/>
      <c r="FAX19" s="171"/>
      <c r="FAY19" s="171"/>
      <c r="FAZ19" s="171"/>
      <c r="FBA19" s="171"/>
      <c r="FBB19" s="171"/>
      <c r="FBC19" s="171"/>
      <c r="FBD19" s="171"/>
      <c r="FBE19" s="171"/>
      <c r="FBF19" s="171"/>
      <c r="FBG19" s="171"/>
      <c r="FBH19" s="171"/>
      <c r="FBI19" s="171"/>
      <c r="FBJ19" s="171"/>
      <c r="FBK19" s="171"/>
      <c r="FBL19" s="171"/>
      <c r="FBM19" s="171"/>
      <c r="FBN19" s="171"/>
      <c r="FBO19" s="171"/>
      <c r="FBP19" s="171"/>
      <c r="FBQ19" s="171"/>
      <c r="FBR19" s="171"/>
      <c r="FBS19" s="171"/>
      <c r="FBT19" s="171"/>
      <c r="FBU19" s="171"/>
      <c r="FBV19" s="171"/>
      <c r="FBW19" s="171"/>
      <c r="FBX19" s="171"/>
      <c r="FBY19" s="171"/>
      <c r="FBZ19" s="171"/>
      <c r="FCA19" s="171"/>
      <c r="FCB19" s="171"/>
      <c r="FCC19" s="171"/>
      <c r="FCD19" s="171"/>
      <c r="FCE19" s="171"/>
      <c r="FCF19" s="171"/>
      <c r="FCG19" s="171"/>
      <c r="FCH19" s="171"/>
      <c r="FCI19" s="171"/>
      <c r="FCJ19" s="171"/>
      <c r="FCK19" s="171"/>
      <c r="FCL19" s="171"/>
      <c r="FCM19" s="171"/>
      <c r="FCN19" s="171"/>
      <c r="FCO19" s="171"/>
      <c r="FCP19" s="171"/>
      <c r="FCQ19" s="171"/>
      <c r="FCR19" s="171"/>
      <c r="FCS19" s="171"/>
      <c r="FCT19" s="171"/>
      <c r="FCU19" s="171"/>
      <c r="FCV19" s="171"/>
      <c r="FCW19" s="171"/>
      <c r="FCX19" s="171"/>
      <c r="FCY19" s="171"/>
      <c r="FCZ19" s="171"/>
      <c r="FDA19" s="171"/>
      <c r="FDB19" s="171"/>
      <c r="FDC19" s="171"/>
      <c r="FDD19" s="171"/>
      <c r="FDE19" s="171"/>
      <c r="FDF19" s="171"/>
      <c r="FDG19" s="171"/>
      <c r="FDH19" s="171"/>
      <c r="FDI19" s="171"/>
      <c r="FDJ19" s="171"/>
      <c r="FDK19" s="171"/>
      <c r="FDL19" s="171"/>
      <c r="FDM19" s="171"/>
      <c r="FDN19" s="171"/>
      <c r="FDO19" s="171"/>
      <c r="FDP19" s="171"/>
      <c r="FDQ19" s="171"/>
      <c r="FDR19" s="171"/>
      <c r="FDS19" s="171"/>
      <c r="FDT19" s="171"/>
      <c r="FDU19" s="171"/>
      <c r="FDV19" s="171"/>
      <c r="FDW19" s="171"/>
      <c r="FDX19" s="171"/>
      <c r="FDY19" s="171"/>
      <c r="FDZ19" s="171"/>
      <c r="FEA19" s="171"/>
      <c r="FEB19" s="171"/>
      <c r="FEC19" s="171"/>
      <c r="FED19" s="171"/>
      <c r="FEE19" s="171"/>
      <c r="FEF19" s="171"/>
      <c r="FEG19" s="171"/>
      <c r="FEH19" s="171"/>
      <c r="FEI19" s="171"/>
      <c r="FEJ19" s="171"/>
      <c r="FEK19" s="171"/>
      <c r="FEL19" s="171"/>
      <c r="FEM19" s="171"/>
      <c r="FEN19" s="171"/>
      <c r="FEO19" s="171"/>
      <c r="FEP19" s="171"/>
      <c r="FEQ19" s="171"/>
      <c r="FER19" s="171"/>
      <c r="FES19" s="171"/>
      <c r="FET19" s="171"/>
      <c r="FEU19" s="171"/>
      <c r="FEV19" s="171"/>
      <c r="FEW19" s="171"/>
      <c r="FEX19" s="171"/>
      <c r="FEY19" s="171"/>
      <c r="FEZ19" s="171"/>
      <c r="FFA19" s="171"/>
      <c r="FFB19" s="171"/>
      <c r="FFC19" s="171"/>
      <c r="FFD19" s="171"/>
      <c r="FFE19" s="171"/>
      <c r="FFF19" s="171"/>
      <c r="FFG19" s="171"/>
      <c r="FFH19" s="171"/>
      <c r="FFI19" s="171"/>
      <c r="FFJ19" s="171"/>
      <c r="FFK19" s="171"/>
      <c r="FFL19" s="171"/>
      <c r="FFM19" s="171"/>
      <c r="FFN19" s="171"/>
      <c r="FFO19" s="171"/>
      <c r="FFP19" s="171"/>
      <c r="FFQ19" s="171"/>
      <c r="FFR19" s="171"/>
      <c r="FFS19" s="171"/>
      <c r="FFT19" s="171"/>
      <c r="FFU19" s="171"/>
      <c r="FFV19" s="171"/>
      <c r="FFW19" s="171"/>
      <c r="FFX19" s="171"/>
      <c r="FFY19" s="171"/>
      <c r="FFZ19" s="171"/>
      <c r="FGA19" s="171"/>
      <c r="FGB19" s="171"/>
      <c r="FGC19" s="171"/>
      <c r="FGD19" s="171"/>
      <c r="FGE19" s="171"/>
      <c r="FGF19" s="171"/>
      <c r="FGG19" s="171"/>
      <c r="FGH19" s="171"/>
      <c r="FGI19" s="171"/>
      <c r="FGJ19" s="171"/>
      <c r="FGK19" s="171"/>
      <c r="FGL19" s="171"/>
      <c r="FGM19" s="171"/>
      <c r="FGN19" s="171"/>
      <c r="FGO19" s="171"/>
      <c r="FGP19" s="171"/>
      <c r="FGQ19" s="171"/>
      <c r="FGR19" s="171"/>
      <c r="FGS19" s="171"/>
      <c r="FGT19" s="171"/>
      <c r="FGU19" s="171"/>
      <c r="FGV19" s="171"/>
      <c r="FGW19" s="171"/>
      <c r="FGX19" s="171"/>
      <c r="FGY19" s="171"/>
      <c r="FGZ19" s="171"/>
      <c r="FHA19" s="171"/>
      <c r="FHB19" s="171"/>
      <c r="FHC19" s="171"/>
      <c r="FHD19" s="171"/>
      <c r="FHE19" s="171"/>
      <c r="FHF19" s="171"/>
      <c r="FHG19" s="171"/>
      <c r="FHH19" s="171"/>
      <c r="FHI19" s="171"/>
      <c r="FHJ19" s="171"/>
      <c r="FHK19" s="171"/>
      <c r="FHL19" s="171"/>
      <c r="FHM19" s="171"/>
      <c r="FHN19" s="171"/>
      <c r="FHO19" s="171"/>
      <c r="FHP19" s="171"/>
      <c r="FHQ19" s="171"/>
      <c r="FHR19" s="171"/>
      <c r="FHS19" s="171"/>
      <c r="FHT19" s="171"/>
      <c r="FHU19" s="171"/>
      <c r="FHV19" s="171"/>
      <c r="FHW19" s="171"/>
      <c r="FHX19" s="171"/>
      <c r="FHY19" s="171"/>
      <c r="FHZ19" s="171"/>
      <c r="FIA19" s="171"/>
      <c r="FIB19" s="171"/>
      <c r="FIC19" s="171"/>
      <c r="FID19" s="171"/>
      <c r="FIE19" s="171"/>
      <c r="FIF19" s="171"/>
      <c r="FIG19" s="171"/>
      <c r="FIH19" s="171"/>
      <c r="FII19" s="171"/>
      <c r="FIJ19" s="171"/>
      <c r="FIK19" s="171"/>
      <c r="FIL19" s="171"/>
      <c r="FIM19" s="171"/>
      <c r="FIN19" s="171"/>
      <c r="FIO19" s="171"/>
      <c r="FIP19" s="171"/>
      <c r="FIQ19" s="171"/>
      <c r="FIR19" s="171"/>
      <c r="FIS19" s="171"/>
      <c r="FIT19" s="171"/>
      <c r="FIU19" s="171"/>
      <c r="FIV19" s="171"/>
      <c r="FIW19" s="171"/>
      <c r="FIX19" s="171"/>
      <c r="FIY19" s="171"/>
      <c r="FIZ19" s="171"/>
      <c r="FJA19" s="171"/>
      <c r="FJB19" s="171"/>
      <c r="FJC19" s="171"/>
      <c r="FJD19" s="171"/>
      <c r="FJE19" s="171"/>
      <c r="FJF19" s="171"/>
      <c r="FJG19" s="171"/>
      <c r="FJH19" s="171"/>
      <c r="FJI19" s="171"/>
      <c r="FJJ19" s="171"/>
      <c r="FJK19" s="171"/>
      <c r="FJL19" s="171"/>
      <c r="FJM19" s="171"/>
      <c r="FJN19" s="171"/>
      <c r="FJO19" s="171"/>
      <c r="FJP19" s="171"/>
      <c r="FJQ19" s="171"/>
      <c r="FJR19" s="171"/>
      <c r="FJS19" s="171"/>
      <c r="FJT19" s="171"/>
      <c r="FJU19" s="171"/>
      <c r="FJV19" s="171"/>
      <c r="FJW19" s="171"/>
      <c r="FJX19" s="171"/>
      <c r="FJY19" s="171"/>
      <c r="FJZ19" s="171"/>
      <c r="FKA19" s="171"/>
      <c r="FKB19" s="171"/>
      <c r="FKC19" s="171"/>
      <c r="FKD19" s="171"/>
      <c r="FKE19" s="171"/>
      <c r="FKF19" s="171"/>
      <c r="FKG19" s="171"/>
      <c r="FKH19" s="171"/>
      <c r="FKI19" s="171"/>
      <c r="FKJ19" s="171"/>
      <c r="FKK19" s="171"/>
      <c r="FKL19" s="171"/>
      <c r="FKM19" s="171"/>
      <c r="FKN19" s="171"/>
      <c r="FKO19" s="171"/>
      <c r="FKP19" s="171"/>
      <c r="FKQ19" s="171"/>
      <c r="FKR19" s="171"/>
      <c r="FKS19" s="171"/>
      <c r="FKT19" s="171"/>
      <c r="FKU19" s="171"/>
      <c r="FKV19" s="171"/>
      <c r="FKW19" s="171"/>
      <c r="FKX19" s="171"/>
      <c r="FKY19" s="171"/>
      <c r="FKZ19" s="171"/>
      <c r="FLA19" s="171"/>
      <c r="FLB19" s="171"/>
      <c r="FLC19" s="171"/>
      <c r="FLD19" s="171"/>
      <c r="FLE19" s="171"/>
      <c r="FLF19" s="171"/>
      <c r="FLG19" s="171"/>
      <c r="FLH19" s="171"/>
      <c r="FLI19" s="171"/>
      <c r="FLJ19" s="171"/>
      <c r="FLK19" s="171"/>
      <c r="FLL19" s="171"/>
      <c r="FLM19" s="171"/>
      <c r="FLN19" s="171"/>
      <c r="FLO19" s="171"/>
      <c r="FLP19" s="171"/>
      <c r="FLQ19" s="171"/>
      <c r="FLR19" s="171"/>
      <c r="FLS19" s="171"/>
      <c r="FLT19" s="171"/>
      <c r="FLU19" s="171"/>
      <c r="FLV19" s="171"/>
      <c r="FLW19" s="171"/>
      <c r="FLX19" s="171"/>
      <c r="FLY19" s="171"/>
      <c r="FLZ19" s="171"/>
      <c r="FMA19" s="171"/>
      <c r="FMB19" s="171"/>
      <c r="FMC19" s="171"/>
      <c r="FMD19" s="171"/>
      <c r="FME19" s="171"/>
      <c r="FMF19" s="171"/>
      <c r="FMG19" s="171"/>
      <c r="FMH19" s="171"/>
      <c r="FMI19" s="171"/>
      <c r="FMJ19" s="171"/>
      <c r="FMK19" s="171"/>
      <c r="FML19" s="171"/>
      <c r="FMM19" s="171"/>
      <c r="FMN19" s="171"/>
      <c r="FMO19" s="171"/>
      <c r="FMP19" s="171"/>
      <c r="FMQ19" s="171"/>
      <c r="FMR19" s="171"/>
      <c r="FMS19" s="171"/>
      <c r="FMT19" s="171"/>
      <c r="FMU19" s="171"/>
      <c r="FMV19" s="171"/>
      <c r="FMW19" s="171"/>
      <c r="FMX19" s="171"/>
      <c r="FMY19" s="171"/>
      <c r="FMZ19" s="171"/>
      <c r="FNA19" s="171"/>
      <c r="FNB19" s="171"/>
      <c r="FNC19" s="171"/>
      <c r="FND19" s="171"/>
      <c r="FNE19" s="171"/>
      <c r="FNF19" s="171"/>
      <c r="FNG19" s="171"/>
      <c r="FNH19" s="171"/>
      <c r="FNI19" s="171"/>
      <c r="FNJ19" s="171"/>
      <c r="FNK19" s="171"/>
      <c r="FNL19" s="171"/>
      <c r="FNM19" s="171"/>
      <c r="FNN19" s="171"/>
      <c r="FNO19" s="171"/>
      <c r="FNP19" s="171"/>
      <c r="FNQ19" s="171"/>
      <c r="FNR19" s="171"/>
      <c r="FNS19" s="171"/>
      <c r="FNT19" s="171"/>
      <c r="FNU19" s="171"/>
      <c r="FNV19" s="171"/>
      <c r="FNW19" s="171"/>
      <c r="FNX19" s="171"/>
      <c r="FNY19" s="171"/>
      <c r="FNZ19" s="171"/>
      <c r="FOA19" s="171"/>
      <c r="FOB19" s="171"/>
      <c r="FOC19" s="171"/>
      <c r="FOD19" s="171"/>
      <c r="FOE19" s="171"/>
      <c r="FOF19" s="171"/>
      <c r="FOG19" s="171"/>
      <c r="FOH19" s="171"/>
      <c r="FOI19" s="171"/>
      <c r="FOJ19" s="171"/>
      <c r="FOK19" s="171"/>
      <c r="FOL19" s="171"/>
      <c r="FOM19" s="171"/>
      <c r="FON19" s="171"/>
      <c r="FOO19" s="171"/>
      <c r="FOP19" s="171"/>
      <c r="FOQ19" s="171"/>
      <c r="FOR19" s="171"/>
      <c r="FOS19" s="171"/>
      <c r="FOT19" s="171"/>
      <c r="FOU19" s="171"/>
      <c r="FOV19" s="171"/>
      <c r="FOW19" s="171"/>
      <c r="FOX19" s="171"/>
      <c r="FOY19" s="171"/>
      <c r="FOZ19" s="171"/>
      <c r="FPA19" s="171"/>
      <c r="FPB19" s="171"/>
      <c r="FPC19" s="171"/>
      <c r="FPD19" s="171"/>
      <c r="FPE19" s="171"/>
      <c r="FPF19" s="171"/>
      <c r="FPG19" s="171"/>
      <c r="FPH19" s="171"/>
      <c r="FPI19" s="171"/>
      <c r="FPJ19" s="171"/>
      <c r="FPK19" s="171"/>
      <c r="FPL19" s="171"/>
      <c r="FPM19" s="171"/>
      <c r="FPN19" s="171"/>
      <c r="FPO19" s="171"/>
      <c r="FPP19" s="171"/>
      <c r="FPQ19" s="171"/>
      <c r="FPR19" s="171"/>
      <c r="FPS19" s="171"/>
      <c r="FPT19" s="171"/>
      <c r="FPU19" s="171"/>
      <c r="FPV19" s="171"/>
      <c r="FPW19" s="171"/>
      <c r="FPX19" s="171"/>
      <c r="FPY19" s="171"/>
      <c r="FPZ19" s="171"/>
      <c r="FQA19" s="171"/>
      <c r="FQB19" s="171"/>
      <c r="FQC19" s="171"/>
      <c r="FQD19" s="171"/>
      <c r="FQE19" s="171"/>
      <c r="FQF19" s="171"/>
      <c r="FQG19" s="171"/>
      <c r="FQH19" s="171"/>
      <c r="FQI19" s="171"/>
      <c r="FQJ19" s="171"/>
      <c r="FQK19" s="171"/>
      <c r="FQL19" s="171"/>
      <c r="FQM19" s="171"/>
      <c r="FQN19" s="171"/>
      <c r="FQO19" s="171"/>
      <c r="FQP19" s="171"/>
      <c r="FQQ19" s="171"/>
      <c r="FQR19" s="171"/>
      <c r="FQS19" s="171"/>
      <c r="FQT19" s="171"/>
      <c r="FQU19" s="171"/>
      <c r="FQV19" s="171"/>
      <c r="FQW19" s="171"/>
      <c r="FQX19" s="171"/>
      <c r="FQY19" s="171"/>
      <c r="FQZ19" s="171"/>
      <c r="FRA19" s="171"/>
      <c r="FRB19" s="171"/>
      <c r="FRC19" s="171"/>
      <c r="FRD19" s="171"/>
      <c r="FRE19" s="171"/>
      <c r="FRF19" s="171"/>
      <c r="FRG19" s="171"/>
      <c r="FRH19" s="171"/>
      <c r="FRI19" s="171"/>
      <c r="FRJ19" s="171"/>
      <c r="FRK19" s="171"/>
      <c r="FRL19" s="171"/>
      <c r="FRM19" s="171"/>
      <c r="FRN19" s="171"/>
      <c r="FRO19" s="171"/>
      <c r="FRP19" s="171"/>
      <c r="FRQ19" s="171"/>
      <c r="FRR19" s="171"/>
      <c r="FRS19" s="171"/>
      <c r="FRT19" s="171"/>
      <c r="FRU19" s="171"/>
      <c r="FRV19" s="171"/>
      <c r="FRW19" s="171"/>
      <c r="FRX19" s="171"/>
      <c r="FRY19" s="171"/>
      <c r="FRZ19" s="171"/>
      <c r="FSA19" s="171"/>
      <c r="FSB19" s="171"/>
      <c r="FSC19" s="171"/>
      <c r="FSD19" s="171"/>
      <c r="FSE19" s="171"/>
      <c r="FSF19" s="171"/>
      <c r="FSG19" s="171"/>
      <c r="FSH19" s="171"/>
      <c r="FSI19" s="171"/>
      <c r="FSJ19" s="171"/>
      <c r="FSK19" s="171"/>
      <c r="FSL19" s="171"/>
      <c r="FSM19" s="171"/>
      <c r="FSN19" s="171"/>
      <c r="FSO19" s="171"/>
      <c r="FSP19" s="171"/>
      <c r="FSQ19" s="171"/>
      <c r="FSR19" s="171"/>
      <c r="FSS19" s="171"/>
      <c r="FST19" s="171"/>
      <c r="FSU19" s="171"/>
      <c r="FSV19" s="171"/>
      <c r="FSW19" s="171"/>
      <c r="FSX19" s="171"/>
      <c r="FSY19" s="171"/>
      <c r="FSZ19" s="171"/>
      <c r="FTA19" s="171"/>
      <c r="FTB19" s="171"/>
      <c r="FTC19" s="171"/>
      <c r="FTD19" s="171"/>
      <c r="FTE19" s="171"/>
      <c r="FTF19" s="171"/>
      <c r="FTG19" s="171"/>
      <c r="FTH19" s="171"/>
      <c r="FTI19" s="171"/>
      <c r="FTJ19" s="171"/>
      <c r="FTK19" s="171"/>
      <c r="FTL19" s="171"/>
      <c r="FTM19" s="171"/>
      <c r="FTN19" s="171"/>
      <c r="FTO19" s="171"/>
      <c r="FTP19" s="171"/>
      <c r="FTQ19" s="171"/>
      <c r="FTR19" s="171"/>
      <c r="FTS19" s="171"/>
      <c r="FTT19" s="171"/>
      <c r="FTU19" s="171"/>
      <c r="FTV19" s="171"/>
      <c r="FTW19" s="171"/>
      <c r="FTX19" s="171"/>
      <c r="FTY19" s="171"/>
      <c r="FTZ19" s="171"/>
      <c r="FUA19" s="171"/>
      <c r="FUB19" s="171"/>
      <c r="FUC19" s="171"/>
      <c r="FUD19" s="171"/>
      <c r="FUE19" s="171"/>
      <c r="FUF19" s="171"/>
      <c r="FUG19" s="171"/>
      <c r="FUH19" s="171"/>
      <c r="FUI19" s="171"/>
      <c r="FUJ19" s="171"/>
      <c r="FUK19" s="171"/>
      <c r="FUL19" s="171"/>
      <c r="FUM19" s="171"/>
      <c r="FUN19" s="171"/>
      <c r="FUO19" s="171"/>
      <c r="FUP19" s="171"/>
      <c r="FUQ19" s="171"/>
      <c r="FUR19" s="171"/>
      <c r="FUS19" s="171"/>
      <c r="FUT19" s="171"/>
      <c r="FUU19" s="171"/>
      <c r="FUV19" s="171"/>
      <c r="FUW19" s="171"/>
      <c r="FUX19" s="171"/>
      <c r="FUY19" s="171"/>
      <c r="FUZ19" s="171"/>
      <c r="FVA19" s="171"/>
      <c r="FVB19" s="171"/>
      <c r="FVC19" s="171"/>
      <c r="FVD19" s="171"/>
      <c r="FVE19" s="171"/>
      <c r="FVF19" s="171"/>
      <c r="FVG19" s="171"/>
      <c r="FVH19" s="171"/>
      <c r="FVI19" s="171"/>
      <c r="FVJ19" s="171"/>
      <c r="FVK19" s="171"/>
      <c r="FVL19" s="171"/>
      <c r="FVM19" s="171"/>
      <c r="FVN19" s="171"/>
      <c r="FVO19" s="171"/>
      <c r="FVP19" s="171"/>
      <c r="FVQ19" s="171"/>
      <c r="FVR19" s="171"/>
      <c r="FVS19" s="171"/>
      <c r="FVT19" s="171"/>
      <c r="FVU19" s="171"/>
      <c r="FVV19" s="171"/>
      <c r="FVW19" s="171"/>
      <c r="FVX19" s="171"/>
      <c r="FVY19" s="171"/>
      <c r="FVZ19" s="171"/>
      <c r="FWA19" s="171"/>
      <c r="FWB19" s="171"/>
      <c r="FWC19" s="171"/>
      <c r="FWD19" s="171"/>
      <c r="FWE19" s="171"/>
      <c r="FWF19" s="171"/>
      <c r="FWG19" s="171"/>
      <c r="FWH19" s="171"/>
      <c r="FWI19" s="171"/>
      <c r="FWJ19" s="171"/>
      <c r="FWK19" s="171"/>
      <c r="FWL19" s="171"/>
      <c r="FWM19" s="171"/>
      <c r="FWN19" s="171"/>
      <c r="FWO19" s="171"/>
      <c r="FWP19" s="171"/>
      <c r="FWQ19" s="171"/>
      <c r="FWR19" s="171"/>
      <c r="FWS19" s="171"/>
      <c r="FWT19" s="171"/>
      <c r="FWU19" s="171"/>
      <c r="FWV19" s="171"/>
      <c r="FWW19" s="171"/>
      <c r="FWX19" s="171"/>
      <c r="FWY19" s="171"/>
      <c r="FWZ19" s="171"/>
      <c r="FXA19" s="171"/>
      <c r="FXB19" s="171"/>
      <c r="FXC19" s="171"/>
      <c r="FXD19" s="171"/>
      <c r="FXE19" s="171"/>
      <c r="FXF19" s="171"/>
      <c r="FXG19" s="171"/>
      <c r="FXH19" s="171"/>
      <c r="FXI19" s="171"/>
      <c r="FXJ19" s="171"/>
      <c r="FXK19" s="171"/>
      <c r="FXL19" s="171"/>
      <c r="FXM19" s="171"/>
      <c r="FXN19" s="171"/>
      <c r="FXO19" s="171"/>
      <c r="FXP19" s="171"/>
      <c r="FXQ19" s="171"/>
      <c r="FXR19" s="171"/>
      <c r="FXS19" s="171"/>
      <c r="FXT19" s="171"/>
      <c r="FXU19" s="171"/>
      <c r="FXV19" s="171"/>
      <c r="FXW19" s="171"/>
      <c r="FXX19" s="171"/>
      <c r="FXY19" s="171"/>
      <c r="FXZ19" s="171"/>
      <c r="FYA19" s="171"/>
      <c r="FYB19" s="171"/>
      <c r="FYC19" s="171"/>
      <c r="FYD19" s="171"/>
      <c r="FYE19" s="171"/>
      <c r="FYF19" s="171"/>
      <c r="FYG19" s="171"/>
      <c r="FYH19" s="171"/>
      <c r="FYI19" s="171"/>
      <c r="FYJ19" s="171"/>
      <c r="FYK19" s="171"/>
      <c r="FYL19" s="171"/>
      <c r="FYM19" s="171"/>
      <c r="FYN19" s="171"/>
      <c r="FYO19" s="171"/>
      <c r="FYP19" s="171"/>
      <c r="FYQ19" s="171"/>
      <c r="FYR19" s="171"/>
      <c r="FYS19" s="171"/>
      <c r="FYT19" s="171"/>
      <c r="FYU19" s="171"/>
      <c r="FYV19" s="171"/>
      <c r="FYW19" s="171"/>
      <c r="FYX19" s="171"/>
      <c r="FYY19" s="171"/>
      <c r="FYZ19" s="171"/>
      <c r="FZA19" s="171"/>
      <c r="FZB19" s="171"/>
      <c r="FZC19" s="171"/>
      <c r="FZD19" s="171"/>
      <c r="FZE19" s="171"/>
      <c r="FZF19" s="171"/>
      <c r="FZG19" s="171"/>
      <c r="FZH19" s="171"/>
      <c r="FZI19" s="171"/>
      <c r="FZJ19" s="171"/>
      <c r="FZK19" s="171"/>
      <c r="FZL19" s="171"/>
      <c r="FZM19" s="171"/>
      <c r="FZN19" s="171"/>
      <c r="FZO19" s="171"/>
      <c r="FZP19" s="171"/>
      <c r="FZQ19" s="171"/>
      <c r="FZR19" s="171"/>
      <c r="FZS19" s="171"/>
      <c r="FZT19" s="171"/>
      <c r="FZU19" s="171"/>
      <c r="FZV19" s="171"/>
      <c r="FZW19" s="171"/>
      <c r="FZX19" s="171"/>
      <c r="FZY19" s="171"/>
      <c r="FZZ19" s="171"/>
      <c r="GAA19" s="171"/>
      <c r="GAB19" s="171"/>
      <c r="GAC19" s="171"/>
      <c r="GAD19" s="171"/>
      <c r="GAE19" s="171"/>
      <c r="GAF19" s="171"/>
      <c r="GAG19" s="171"/>
      <c r="GAH19" s="171"/>
      <c r="GAI19" s="171"/>
      <c r="GAJ19" s="171"/>
      <c r="GAK19" s="171"/>
      <c r="GAL19" s="171"/>
      <c r="GAM19" s="171"/>
      <c r="GAN19" s="171"/>
      <c r="GAO19" s="171"/>
      <c r="GAP19" s="171"/>
      <c r="GAQ19" s="171"/>
      <c r="GAR19" s="171"/>
      <c r="GAS19" s="171"/>
      <c r="GAT19" s="171"/>
      <c r="GAU19" s="171"/>
      <c r="GAV19" s="171"/>
      <c r="GAW19" s="171"/>
      <c r="GAX19" s="171"/>
      <c r="GAY19" s="171"/>
      <c r="GAZ19" s="171"/>
      <c r="GBA19" s="171"/>
      <c r="GBB19" s="171"/>
      <c r="GBC19" s="171"/>
      <c r="GBD19" s="171"/>
      <c r="GBE19" s="171"/>
      <c r="GBF19" s="171"/>
      <c r="GBG19" s="171"/>
      <c r="GBH19" s="171"/>
      <c r="GBI19" s="171"/>
      <c r="GBJ19" s="171"/>
      <c r="GBK19" s="171"/>
      <c r="GBL19" s="171"/>
      <c r="GBM19" s="171"/>
      <c r="GBN19" s="171"/>
      <c r="GBO19" s="171"/>
      <c r="GBP19" s="171"/>
      <c r="GBQ19" s="171"/>
      <c r="GBR19" s="171"/>
      <c r="GBS19" s="171"/>
      <c r="GBT19" s="171"/>
      <c r="GBU19" s="171"/>
      <c r="GBV19" s="171"/>
      <c r="GBW19" s="171"/>
      <c r="GBX19" s="171"/>
      <c r="GBY19" s="171"/>
      <c r="GBZ19" s="171"/>
      <c r="GCA19" s="171"/>
      <c r="GCB19" s="171"/>
      <c r="GCC19" s="171"/>
      <c r="GCD19" s="171"/>
      <c r="GCE19" s="171"/>
      <c r="GCF19" s="171"/>
      <c r="GCG19" s="171"/>
      <c r="GCH19" s="171"/>
      <c r="GCI19" s="171"/>
      <c r="GCJ19" s="171"/>
      <c r="GCK19" s="171"/>
      <c r="GCL19" s="171"/>
      <c r="GCM19" s="171"/>
      <c r="GCN19" s="171"/>
      <c r="GCO19" s="171"/>
      <c r="GCP19" s="171"/>
      <c r="GCQ19" s="171"/>
      <c r="GCR19" s="171"/>
      <c r="GCS19" s="171"/>
      <c r="GCT19" s="171"/>
      <c r="GCU19" s="171"/>
      <c r="GCV19" s="171"/>
      <c r="GCW19" s="171"/>
      <c r="GCX19" s="171"/>
      <c r="GCY19" s="171"/>
      <c r="GCZ19" s="171"/>
      <c r="GDA19" s="171"/>
      <c r="GDB19" s="171"/>
      <c r="GDC19" s="171"/>
      <c r="GDD19" s="171"/>
      <c r="GDE19" s="171"/>
      <c r="GDF19" s="171"/>
      <c r="GDG19" s="171"/>
      <c r="GDH19" s="171"/>
      <c r="GDI19" s="171"/>
      <c r="GDJ19" s="171"/>
      <c r="GDK19" s="171"/>
      <c r="GDL19" s="171"/>
      <c r="GDM19" s="171"/>
      <c r="GDN19" s="171"/>
      <c r="GDO19" s="171"/>
      <c r="GDP19" s="171"/>
      <c r="GDQ19" s="171"/>
      <c r="GDR19" s="171"/>
      <c r="GDS19" s="171"/>
      <c r="GDT19" s="171"/>
      <c r="GDU19" s="171"/>
      <c r="GDV19" s="171"/>
      <c r="GDW19" s="171"/>
      <c r="GDX19" s="171"/>
      <c r="GDY19" s="171"/>
      <c r="GDZ19" s="171"/>
      <c r="GEA19" s="171"/>
      <c r="GEB19" s="171"/>
      <c r="GEC19" s="171"/>
      <c r="GED19" s="171"/>
      <c r="GEE19" s="171"/>
      <c r="GEF19" s="171"/>
      <c r="GEG19" s="171"/>
      <c r="GEH19" s="171"/>
      <c r="GEI19" s="171"/>
      <c r="GEJ19" s="171"/>
      <c r="GEK19" s="171"/>
      <c r="GEL19" s="171"/>
      <c r="GEM19" s="171"/>
      <c r="GEN19" s="171"/>
      <c r="GEO19" s="171"/>
      <c r="GEP19" s="171"/>
      <c r="GEQ19" s="171"/>
      <c r="GER19" s="171"/>
      <c r="GES19" s="171"/>
      <c r="GET19" s="171"/>
      <c r="GEU19" s="171"/>
      <c r="GEV19" s="171"/>
      <c r="GEW19" s="171"/>
      <c r="GEX19" s="171"/>
      <c r="GEY19" s="171"/>
      <c r="GEZ19" s="171"/>
      <c r="GFA19" s="171"/>
      <c r="GFB19" s="171"/>
      <c r="GFC19" s="171"/>
      <c r="GFD19" s="171"/>
      <c r="GFE19" s="171"/>
      <c r="GFF19" s="171"/>
      <c r="GFG19" s="171"/>
      <c r="GFH19" s="171"/>
      <c r="GFI19" s="171"/>
      <c r="GFJ19" s="171"/>
      <c r="GFK19" s="171"/>
      <c r="GFL19" s="171"/>
      <c r="GFM19" s="171"/>
      <c r="GFN19" s="171"/>
      <c r="GFO19" s="171"/>
      <c r="GFP19" s="171"/>
      <c r="GFQ19" s="171"/>
      <c r="GFR19" s="171"/>
      <c r="GFS19" s="171"/>
      <c r="GFT19" s="171"/>
      <c r="GFU19" s="171"/>
      <c r="GFV19" s="171"/>
      <c r="GFW19" s="171"/>
      <c r="GFX19" s="171"/>
      <c r="GFY19" s="171"/>
      <c r="GFZ19" s="171"/>
      <c r="GGA19" s="171"/>
      <c r="GGB19" s="171"/>
      <c r="GGC19" s="171"/>
      <c r="GGD19" s="171"/>
      <c r="GGE19" s="171"/>
      <c r="GGF19" s="171"/>
      <c r="GGG19" s="171"/>
      <c r="GGH19" s="171"/>
      <c r="GGI19" s="171"/>
      <c r="GGJ19" s="171"/>
      <c r="GGK19" s="171"/>
      <c r="GGL19" s="171"/>
      <c r="GGM19" s="171"/>
      <c r="GGN19" s="171"/>
      <c r="GGO19" s="171"/>
      <c r="GGP19" s="171"/>
      <c r="GGQ19" s="171"/>
      <c r="GGR19" s="171"/>
      <c r="GGS19" s="171"/>
      <c r="GGT19" s="171"/>
      <c r="GGU19" s="171"/>
      <c r="GGV19" s="171"/>
      <c r="GGW19" s="171"/>
      <c r="GGX19" s="171"/>
      <c r="GGY19" s="171"/>
      <c r="GGZ19" s="171"/>
      <c r="GHA19" s="171"/>
      <c r="GHB19" s="171"/>
      <c r="GHC19" s="171"/>
      <c r="GHD19" s="171"/>
      <c r="GHE19" s="171"/>
      <c r="GHF19" s="171"/>
      <c r="GHG19" s="171"/>
      <c r="GHH19" s="171"/>
      <c r="GHI19" s="171"/>
      <c r="GHJ19" s="171"/>
      <c r="GHK19" s="171"/>
      <c r="GHL19" s="171"/>
      <c r="GHM19" s="171"/>
      <c r="GHN19" s="171"/>
      <c r="GHO19" s="171"/>
      <c r="GHP19" s="171"/>
      <c r="GHQ19" s="171"/>
      <c r="GHR19" s="171"/>
      <c r="GHS19" s="171"/>
      <c r="GHT19" s="171"/>
      <c r="GHU19" s="171"/>
      <c r="GHV19" s="171"/>
      <c r="GHW19" s="171"/>
      <c r="GHX19" s="171"/>
      <c r="GHY19" s="171"/>
      <c r="GHZ19" s="171"/>
      <c r="GIA19" s="171"/>
      <c r="GIB19" s="171"/>
      <c r="GIC19" s="171"/>
      <c r="GID19" s="171"/>
      <c r="GIE19" s="171"/>
      <c r="GIF19" s="171"/>
      <c r="GIG19" s="171"/>
      <c r="GIH19" s="171"/>
      <c r="GII19" s="171"/>
      <c r="GIJ19" s="171"/>
      <c r="GIK19" s="171"/>
      <c r="GIL19" s="171"/>
      <c r="GIM19" s="171"/>
      <c r="GIN19" s="171"/>
      <c r="GIO19" s="171"/>
      <c r="GIP19" s="171"/>
      <c r="GIQ19" s="171"/>
      <c r="GIR19" s="171"/>
      <c r="GIS19" s="171"/>
      <c r="GIT19" s="171"/>
      <c r="GIU19" s="171"/>
      <c r="GIV19" s="171"/>
      <c r="GIW19" s="171"/>
      <c r="GIX19" s="171"/>
      <c r="GIY19" s="171"/>
      <c r="GIZ19" s="171"/>
      <c r="GJA19" s="171"/>
      <c r="GJB19" s="171"/>
      <c r="GJC19" s="171"/>
      <c r="GJD19" s="171"/>
      <c r="GJE19" s="171"/>
      <c r="GJF19" s="171"/>
      <c r="GJG19" s="171"/>
      <c r="GJH19" s="171"/>
      <c r="GJI19" s="171"/>
      <c r="GJJ19" s="171"/>
      <c r="GJK19" s="171"/>
      <c r="GJL19" s="171"/>
      <c r="GJM19" s="171"/>
      <c r="GJN19" s="171"/>
      <c r="GJO19" s="171"/>
      <c r="GJP19" s="171"/>
      <c r="GJQ19" s="171"/>
      <c r="GJR19" s="171"/>
      <c r="GJS19" s="171"/>
      <c r="GJT19" s="171"/>
      <c r="GJU19" s="171"/>
      <c r="GJV19" s="171"/>
      <c r="GJW19" s="171"/>
      <c r="GJX19" s="171"/>
      <c r="GJY19" s="171"/>
      <c r="GJZ19" s="171"/>
      <c r="GKA19" s="171"/>
      <c r="GKB19" s="171"/>
      <c r="GKC19" s="171"/>
      <c r="GKD19" s="171"/>
      <c r="GKE19" s="171"/>
      <c r="GKF19" s="171"/>
      <c r="GKG19" s="171"/>
      <c r="GKH19" s="171"/>
      <c r="GKI19" s="171"/>
      <c r="GKJ19" s="171"/>
      <c r="GKK19" s="171"/>
      <c r="GKL19" s="171"/>
      <c r="GKM19" s="171"/>
      <c r="GKN19" s="171"/>
      <c r="GKO19" s="171"/>
      <c r="GKP19" s="171"/>
      <c r="GKQ19" s="171"/>
      <c r="GKR19" s="171"/>
      <c r="GKS19" s="171"/>
      <c r="GKT19" s="171"/>
      <c r="GKU19" s="171"/>
      <c r="GKV19" s="171"/>
      <c r="GKW19" s="171"/>
      <c r="GKX19" s="171"/>
      <c r="GKY19" s="171"/>
      <c r="GKZ19" s="171"/>
      <c r="GLA19" s="171"/>
      <c r="GLB19" s="171"/>
      <c r="GLC19" s="171"/>
      <c r="GLD19" s="171"/>
      <c r="GLE19" s="171"/>
      <c r="GLF19" s="171"/>
      <c r="GLG19" s="171"/>
      <c r="GLH19" s="171"/>
      <c r="GLI19" s="171"/>
      <c r="GLJ19" s="171"/>
      <c r="GLK19" s="171"/>
      <c r="GLL19" s="171"/>
      <c r="GLM19" s="171"/>
      <c r="GLN19" s="171"/>
      <c r="GLO19" s="171"/>
      <c r="GLP19" s="171"/>
      <c r="GLQ19" s="171"/>
      <c r="GLR19" s="171"/>
      <c r="GLS19" s="171"/>
      <c r="GLT19" s="171"/>
      <c r="GLU19" s="171"/>
      <c r="GLV19" s="171"/>
      <c r="GLW19" s="171"/>
      <c r="GLX19" s="171"/>
      <c r="GLY19" s="171"/>
      <c r="GLZ19" s="171"/>
      <c r="GMA19" s="171"/>
      <c r="GMB19" s="171"/>
      <c r="GMC19" s="171"/>
      <c r="GMD19" s="171"/>
      <c r="GME19" s="171"/>
      <c r="GMF19" s="171"/>
      <c r="GMG19" s="171"/>
      <c r="GMH19" s="171"/>
      <c r="GMI19" s="171"/>
      <c r="GMJ19" s="171"/>
      <c r="GMK19" s="171"/>
      <c r="GML19" s="171"/>
      <c r="GMM19" s="171"/>
      <c r="GMN19" s="171"/>
      <c r="GMO19" s="171"/>
      <c r="GMP19" s="171"/>
      <c r="GMQ19" s="171"/>
      <c r="GMR19" s="171"/>
      <c r="GMS19" s="171"/>
      <c r="GMT19" s="171"/>
      <c r="GMU19" s="171"/>
      <c r="GMV19" s="171"/>
      <c r="GMW19" s="171"/>
      <c r="GMX19" s="171"/>
      <c r="GMY19" s="171"/>
      <c r="GMZ19" s="171"/>
      <c r="GNA19" s="171"/>
      <c r="GNB19" s="171"/>
      <c r="GNC19" s="171"/>
      <c r="GND19" s="171"/>
      <c r="GNE19" s="171"/>
      <c r="GNF19" s="171"/>
      <c r="GNG19" s="171"/>
      <c r="GNH19" s="171"/>
      <c r="GNI19" s="171"/>
      <c r="GNJ19" s="171"/>
      <c r="GNK19" s="171"/>
      <c r="GNL19" s="171"/>
      <c r="GNM19" s="171"/>
      <c r="GNN19" s="171"/>
      <c r="GNO19" s="171"/>
      <c r="GNP19" s="171"/>
      <c r="GNQ19" s="171"/>
      <c r="GNR19" s="171"/>
      <c r="GNS19" s="171"/>
      <c r="GNT19" s="171"/>
      <c r="GNU19" s="171"/>
      <c r="GNV19" s="171"/>
      <c r="GNW19" s="171"/>
      <c r="GNX19" s="171"/>
      <c r="GNY19" s="171"/>
      <c r="GNZ19" s="171"/>
      <c r="GOA19" s="171"/>
      <c r="GOB19" s="171"/>
      <c r="GOC19" s="171"/>
      <c r="GOD19" s="171"/>
      <c r="GOE19" s="171"/>
      <c r="GOF19" s="171"/>
      <c r="GOG19" s="171"/>
      <c r="GOH19" s="171"/>
      <c r="GOI19" s="171"/>
      <c r="GOJ19" s="171"/>
      <c r="GOK19" s="171"/>
      <c r="GOL19" s="171"/>
      <c r="GOM19" s="171"/>
      <c r="GON19" s="171"/>
      <c r="GOO19" s="171"/>
      <c r="GOP19" s="171"/>
      <c r="GOQ19" s="171"/>
      <c r="GOR19" s="171"/>
      <c r="GOS19" s="171"/>
      <c r="GOT19" s="171"/>
      <c r="GOU19" s="171"/>
      <c r="GOV19" s="171"/>
      <c r="GOW19" s="171"/>
      <c r="GOX19" s="171"/>
      <c r="GOY19" s="171"/>
      <c r="GOZ19" s="171"/>
      <c r="GPA19" s="171"/>
      <c r="GPB19" s="171"/>
      <c r="GPC19" s="171"/>
      <c r="GPD19" s="171"/>
      <c r="GPE19" s="171"/>
      <c r="GPF19" s="171"/>
      <c r="GPG19" s="171"/>
      <c r="GPH19" s="171"/>
      <c r="GPI19" s="171"/>
      <c r="GPJ19" s="171"/>
      <c r="GPK19" s="171"/>
      <c r="GPL19" s="171"/>
      <c r="GPM19" s="171"/>
      <c r="GPN19" s="171"/>
      <c r="GPO19" s="171"/>
      <c r="GPP19" s="171"/>
      <c r="GPQ19" s="171"/>
      <c r="GPR19" s="171"/>
      <c r="GPS19" s="171"/>
      <c r="GPT19" s="171"/>
      <c r="GPU19" s="171"/>
      <c r="GPV19" s="171"/>
      <c r="GPW19" s="171"/>
      <c r="GPX19" s="171"/>
      <c r="GPY19" s="171"/>
      <c r="GPZ19" s="171"/>
      <c r="GQA19" s="171"/>
      <c r="GQB19" s="171"/>
      <c r="GQC19" s="171"/>
      <c r="GQD19" s="171"/>
      <c r="GQE19" s="171"/>
      <c r="GQF19" s="171"/>
      <c r="GQG19" s="171"/>
      <c r="GQH19" s="171"/>
      <c r="GQI19" s="171"/>
      <c r="GQJ19" s="171"/>
      <c r="GQK19" s="171"/>
      <c r="GQL19" s="171"/>
      <c r="GQM19" s="171"/>
      <c r="GQN19" s="171"/>
      <c r="GQO19" s="171"/>
      <c r="GQP19" s="171"/>
      <c r="GQQ19" s="171"/>
      <c r="GQR19" s="171"/>
      <c r="GQS19" s="171"/>
      <c r="GQT19" s="171"/>
      <c r="GQU19" s="171"/>
      <c r="GQV19" s="171"/>
      <c r="GQW19" s="171"/>
      <c r="GQX19" s="171"/>
      <c r="GQY19" s="171"/>
      <c r="GQZ19" s="171"/>
      <c r="GRA19" s="171"/>
      <c r="GRB19" s="171"/>
      <c r="GRC19" s="171"/>
      <c r="GRD19" s="171"/>
      <c r="GRE19" s="171"/>
      <c r="GRF19" s="171"/>
      <c r="GRG19" s="171"/>
      <c r="GRH19" s="171"/>
      <c r="GRI19" s="171"/>
      <c r="GRJ19" s="171"/>
      <c r="GRK19" s="171"/>
      <c r="GRL19" s="171"/>
      <c r="GRM19" s="171"/>
      <c r="GRN19" s="171"/>
      <c r="GRO19" s="171"/>
      <c r="GRP19" s="171"/>
      <c r="GRQ19" s="171"/>
      <c r="GRR19" s="171"/>
      <c r="GRS19" s="171"/>
      <c r="GRT19" s="171"/>
      <c r="GRU19" s="171"/>
      <c r="GRV19" s="171"/>
      <c r="GRW19" s="171"/>
      <c r="GRX19" s="171"/>
      <c r="GRY19" s="171"/>
      <c r="GRZ19" s="171"/>
      <c r="GSA19" s="171"/>
      <c r="GSB19" s="171"/>
      <c r="GSC19" s="171"/>
      <c r="GSD19" s="171"/>
      <c r="GSE19" s="171"/>
      <c r="GSF19" s="171"/>
      <c r="GSG19" s="171"/>
      <c r="GSH19" s="171"/>
      <c r="GSI19" s="171"/>
      <c r="GSJ19" s="171"/>
      <c r="GSK19" s="171"/>
      <c r="GSL19" s="171"/>
      <c r="GSM19" s="171"/>
      <c r="GSN19" s="171"/>
      <c r="GSO19" s="171"/>
      <c r="GSP19" s="171"/>
      <c r="GSQ19" s="171"/>
      <c r="GSR19" s="171"/>
      <c r="GSS19" s="171"/>
      <c r="GST19" s="171"/>
      <c r="GSU19" s="171"/>
      <c r="GSV19" s="171"/>
      <c r="GSW19" s="171"/>
      <c r="GSX19" s="171"/>
      <c r="GSY19" s="171"/>
      <c r="GSZ19" s="171"/>
      <c r="GTA19" s="171"/>
      <c r="GTB19" s="171"/>
      <c r="GTC19" s="171"/>
      <c r="GTD19" s="171"/>
      <c r="GTE19" s="171"/>
      <c r="GTF19" s="171"/>
      <c r="GTG19" s="171"/>
      <c r="GTH19" s="171"/>
      <c r="GTI19" s="171"/>
      <c r="GTJ19" s="171"/>
      <c r="GTK19" s="171"/>
      <c r="GTL19" s="171"/>
      <c r="GTM19" s="171"/>
      <c r="GTN19" s="171"/>
      <c r="GTO19" s="171"/>
      <c r="GTP19" s="171"/>
      <c r="GTQ19" s="171"/>
      <c r="GTR19" s="171"/>
      <c r="GTS19" s="171"/>
      <c r="GTT19" s="171"/>
      <c r="GTU19" s="171"/>
      <c r="GTV19" s="171"/>
      <c r="GTW19" s="171"/>
      <c r="GTX19" s="171"/>
      <c r="GTY19" s="171"/>
      <c r="GTZ19" s="171"/>
      <c r="GUA19" s="171"/>
      <c r="GUB19" s="171"/>
      <c r="GUC19" s="171"/>
      <c r="GUD19" s="171"/>
      <c r="GUE19" s="171"/>
      <c r="GUF19" s="171"/>
      <c r="GUG19" s="171"/>
      <c r="GUH19" s="171"/>
      <c r="GUI19" s="171"/>
      <c r="GUJ19" s="171"/>
      <c r="GUK19" s="171"/>
      <c r="GUL19" s="171"/>
      <c r="GUM19" s="171"/>
      <c r="GUN19" s="171"/>
      <c r="GUO19" s="171"/>
      <c r="GUP19" s="171"/>
      <c r="GUQ19" s="171"/>
      <c r="GUR19" s="171"/>
      <c r="GUS19" s="171"/>
      <c r="GUT19" s="171"/>
      <c r="GUU19" s="171"/>
      <c r="GUV19" s="171"/>
      <c r="GUW19" s="171"/>
      <c r="GUX19" s="171"/>
      <c r="GUY19" s="171"/>
      <c r="GUZ19" s="171"/>
      <c r="GVA19" s="171"/>
      <c r="GVB19" s="171"/>
      <c r="GVC19" s="171"/>
      <c r="GVD19" s="171"/>
      <c r="GVE19" s="171"/>
      <c r="GVF19" s="171"/>
      <c r="GVG19" s="171"/>
      <c r="GVH19" s="171"/>
      <c r="GVI19" s="171"/>
      <c r="GVJ19" s="171"/>
      <c r="GVK19" s="171"/>
      <c r="GVL19" s="171"/>
      <c r="GVM19" s="171"/>
      <c r="GVN19" s="171"/>
      <c r="GVO19" s="171"/>
      <c r="GVP19" s="171"/>
      <c r="GVQ19" s="171"/>
      <c r="GVR19" s="171"/>
      <c r="GVS19" s="171"/>
      <c r="GVT19" s="171"/>
      <c r="GVU19" s="171"/>
      <c r="GVV19" s="171"/>
      <c r="GVW19" s="171"/>
      <c r="GVX19" s="171"/>
      <c r="GVY19" s="171"/>
      <c r="GVZ19" s="171"/>
      <c r="GWA19" s="171"/>
      <c r="GWB19" s="171"/>
      <c r="GWC19" s="171"/>
      <c r="GWD19" s="171"/>
      <c r="GWE19" s="171"/>
      <c r="GWF19" s="171"/>
      <c r="GWG19" s="171"/>
      <c r="GWH19" s="171"/>
      <c r="GWI19" s="171"/>
      <c r="GWJ19" s="171"/>
      <c r="GWK19" s="171"/>
      <c r="GWL19" s="171"/>
      <c r="GWM19" s="171"/>
      <c r="GWN19" s="171"/>
      <c r="GWO19" s="171"/>
      <c r="GWP19" s="171"/>
      <c r="GWQ19" s="171"/>
      <c r="GWR19" s="171"/>
      <c r="GWS19" s="171"/>
      <c r="GWT19" s="171"/>
      <c r="GWU19" s="171"/>
      <c r="GWV19" s="171"/>
      <c r="GWW19" s="171"/>
      <c r="GWX19" s="171"/>
      <c r="GWY19" s="171"/>
      <c r="GWZ19" s="171"/>
      <c r="GXA19" s="171"/>
      <c r="GXB19" s="171"/>
      <c r="GXC19" s="171"/>
      <c r="GXD19" s="171"/>
      <c r="GXE19" s="171"/>
      <c r="GXF19" s="171"/>
      <c r="GXG19" s="171"/>
      <c r="GXH19" s="171"/>
      <c r="GXI19" s="171"/>
      <c r="GXJ19" s="171"/>
      <c r="GXK19" s="171"/>
      <c r="GXL19" s="171"/>
      <c r="GXM19" s="171"/>
      <c r="GXN19" s="171"/>
      <c r="GXO19" s="171"/>
      <c r="GXP19" s="171"/>
      <c r="GXQ19" s="171"/>
      <c r="GXR19" s="171"/>
      <c r="GXS19" s="171"/>
      <c r="GXT19" s="171"/>
      <c r="GXU19" s="171"/>
      <c r="GXV19" s="171"/>
      <c r="GXW19" s="171"/>
      <c r="GXX19" s="171"/>
      <c r="GXY19" s="171"/>
      <c r="GXZ19" s="171"/>
      <c r="GYA19" s="171"/>
      <c r="GYB19" s="171"/>
      <c r="GYC19" s="171"/>
      <c r="GYD19" s="171"/>
      <c r="GYE19" s="171"/>
      <c r="GYF19" s="171"/>
      <c r="GYG19" s="171"/>
      <c r="GYH19" s="171"/>
      <c r="GYI19" s="171"/>
      <c r="GYJ19" s="171"/>
      <c r="GYK19" s="171"/>
      <c r="GYL19" s="171"/>
      <c r="GYM19" s="171"/>
      <c r="GYN19" s="171"/>
      <c r="GYO19" s="171"/>
      <c r="GYP19" s="171"/>
      <c r="GYQ19" s="171"/>
      <c r="GYR19" s="171"/>
      <c r="GYS19" s="171"/>
      <c r="GYT19" s="171"/>
      <c r="GYU19" s="171"/>
      <c r="GYV19" s="171"/>
      <c r="GYW19" s="171"/>
      <c r="GYX19" s="171"/>
      <c r="GYY19" s="171"/>
      <c r="GYZ19" s="171"/>
      <c r="GZA19" s="171"/>
      <c r="GZB19" s="171"/>
      <c r="GZC19" s="171"/>
      <c r="GZD19" s="171"/>
      <c r="GZE19" s="171"/>
      <c r="GZF19" s="171"/>
      <c r="GZG19" s="171"/>
      <c r="GZH19" s="171"/>
      <c r="GZI19" s="171"/>
      <c r="GZJ19" s="171"/>
      <c r="GZK19" s="171"/>
      <c r="GZL19" s="171"/>
      <c r="GZM19" s="171"/>
      <c r="GZN19" s="171"/>
      <c r="GZO19" s="171"/>
      <c r="GZP19" s="171"/>
      <c r="GZQ19" s="171"/>
      <c r="GZR19" s="171"/>
      <c r="GZS19" s="171"/>
      <c r="GZT19" s="171"/>
      <c r="GZU19" s="171"/>
      <c r="GZV19" s="171"/>
      <c r="GZW19" s="171"/>
      <c r="GZX19" s="171"/>
      <c r="GZY19" s="171"/>
      <c r="GZZ19" s="171"/>
      <c r="HAA19" s="171"/>
      <c r="HAB19" s="171"/>
      <c r="HAC19" s="171"/>
      <c r="HAD19" s="171"/>
      <c r="HAE19" s="171"/>
      <c r="HAF19" s="171"/>
      <c r="HAG19" s="171"/>
      <c r="HAH19" s="171"/>
      <c r="HAI19" s="171"/>
      <c r="HAJ19" s="171"/>
      <c r="HAK19" s="171"/>
      <c r="HAL19" s="171"/>
      <c r="HAM19" s="171"/>
      <c r="HAN19" s="171"/>
      <c r="HAO19" s="171"/>
      <c r="HAP19" s="171"/>
      <c r="HAQ19" s="171"/>
      <c r="HAR19" s="171"/>
      <c r="HAS19" s="171"/>
      <c r="HAT19" s="171"/>
      <c r="HAU19" s="171"/>
      <c r="HAV19" s="171"/>
      <c r="HAW19" s="171"/>
      <c r="HAX19" s="171"/>
      <c r="HAY19" s="171"/>
      <c r="HAZ19" s="171"/>
      <c r="HBA19" s="171"/>
      <c r="HBB19" s="171"/>
      <c r="HBC19" s="171"/>
      <c r="HBD19" s="171"/>
      <c r="HBE19" s="171"/>
      <c r="HBF19" s="171"/>
      <c r="HBG19" s="171"/>
      <c r="HBH19" s="171"/>
      <c r="HBI19" s="171"/>
      <c r="HBJ19" s="171"/>
      <c r="HBK19" s="171"/>
      <c r="HBL19" s="171"/>
      <c r="HBM19" s="171"/>
      <c r="HBN19" s="171"/>
      <c r="HBO19" s="171"/>
      <c r="HBP19" s="171"/>
      <c r="HBQ19" s="171"/>
      <c r="HBR19" s="171"/>
      <c r="HBS19" s="171"/>
      <c r="HBT19" s="171"/>
      <c r="HBU19" s="171"/>
      <c r="HBV19" s="171"/>
      <c r="HBW19" s="171"/>
      <c r="HBX19" s="171"/>
      <c r="HBY19" s="171"/>
      <c r="HBZ19" s="171"/>
      <c r="HCA19" s="171"/>
      <c r="HCB19" s="171"/>
      <c r="HCC19" s="171"/>
      <c r="HCD19" s="171"/>
      <c r="HCE19" s="171"/>
      <c r="HCF19" s="171"/>
      <c r="HCG19" s="171"/>
      <c r="HCH19" s="171"/>
      <c r="HCI19" s="171"/>
      <c r="HCJ19" s="171"/>
      <c r="HCK19" s="171"/>
      <c r="HCL19" s="171"/>
      <c r="HCM19" s="171"/>
      <c r="HCN19" s="171"/>
      <c r="HCO19" s="171"/>
      <c r="HCP19" s="171"/>
      <c r="HCQ19" s="171"/>
      <c r="HCR19" s="171"/>
      <c r="HCS19" s="171"/>
      <c r="HCT19" s="171"/>
      <c r="HCU19" s="171"/>
      <c r="HCV19" s="171"/>
      <c r="HCW19" s="171"/>
      <c r="HCX19" s="171"/>
      <c r="HCY19" s="171"/>
      <c r="HCZ19" s="171"/>
      <c r="HDA19" s="171"/>
      <c r="HDB19" s="171"/>
      <c r="HDC19" s="171"/>
      <c r="HDD19" s="171"/>
      <c r="HDE19" s="171"/>
      <c r="HDF19" s="171"/>
      <c r="HDG19" s="171"/>
      <c r="HDH19" s="171"/>
      <c r="HDI19" s="171"/>
      <c r="HDJ19" s="171"/>
      <c r="HDK19" s="171"/>
      <c r="HDL19" s="171"/>
      <c r="HDM19" s="171"/>
      <c r="HDN19" s="171"/>
      <c r="HDO19" s="171"/>
      <c r="HDP19" s="171"/>
      <c r="HDQ19" s="171"/>
      <c r="HDR19" s="171"/>
      <c r="HDS19" s="171"/>
      <c r="HDT19" s="171"/>
      <c r="HDU19" s="171"/>
      <c r="HDV19" s="171"/>
      <c r="HDW19" s="171"/>
      <c r="HDX19" s="171"/>
      <c r="HDY19" s="171"/>
      <c r="HDZ19" s="171"/>
      <c r="HEA19" s="171"/>
      <c r="HEB19" s="171"/>
      <c r="HEC19" s="171"/>
      <c r="HED19" s="171"/>
      <c r="HEE19" s="171"/>
      <c r="HEF19" s="171"/>
      <c r="HEG19" s="171"/>
      <c r="HEH19" s="171"/>
      <c r="HEI19" s="171"/>
      <c r="HEJ19" s="171"/>
      <c r="HEK19" s="171"/>
      <c r="HEL19" s="171"/>
      <c r="HEM19" s="171"/>
      <c r="HEN19" s="171"/>
      <c r="HEO19" s="171"/>
      <c r="HEP19" s="171"/>
      <c r="HEQ19" s="171"/>
      <c r="HER19" s="171"/>
      <c r="HES19" s="171"/>
      <c r="HET19" s="171"/>
      <c r="HEU19" s="171"/>
      <c r="HEV19" s="171"/>
      <c r="HEW19" s="171"/>
      <c r="HEX19" s="171"/>
      <c r="HEY19" s="171"/>
      <c r="HEZ19" s="171"/>
      <c r="HFA19" s="171"/>
      <c r="HFB19" s="171"/>
      <c r="HFC19" s="171"/>
      <c r="HFD19" s="171"/>
      <c r="HFE19" s="171"/>
      <c r="HFF19" s="171"/>
      <c r="HFG19" s="171"/>
      <c r="HFH19" s="171"/>
      <c r="HFI19" s="171"/>
      <c r="HFJ19" s="171"/>
      <c r="HFK19" s="171"/>
      <c r="HFL19" s="171"/>
      <c r="HFM19" s="171"/>
      <c r="HFN19" s="171"/>
      <c r="HFO19" s="171"/>
      <c r="HFP19" s="171"/>
      <c r="HFQ19" s="171"/>
      <c r="HFR19" s="171"/>
      <c r="HFS19" s="171"/>
      <c r="HFT19" s="171"/>
      <c r="HFU19" s="171"/>
      <c r="HFV19" s="171"/>
      <c r="HFW19" s="171"/>
      <c r="HFX19" s="171"/>
      <c r="HFY19" s="171"/>
      <c r="HFZ19" s="171"/>
      <c r="HGA19" s="171"/>
      <c r="HGB19" s="171"/>
      <c r="HGC19" s="171"/>
      <c r="HGD19" s="171"/>
      <c r="HGE19" s="171"/>
      <c r="HGF19" s="171"/>
      <c r="HGG19" s="171"/>
      <c r="HGH19" s="171"/>
      <c r="HGI19" s="171"/>
      <c r="HGJ19" s="171"/>
      <c r="HGK19" s="171"/>
      <c r="HGL19" s="171"/>
      <c r="HGM19" s="171"/>
      <c r="HGN19" s="171"/>
      <c r="HGO19" s="171"/>
      <c r="HGP19" s="171"/>
      <c r="HGQ19" s="171"/>
      <c r="HGR19" s="171"/>
      <c r="HGS19" s="171"/>
      <c r="HGT19" s="171"/>
      <c r="HGU19" s="171"/>
      <c r="HGV19" s="171"/>
      <c r="HGW19" s="171"/>
      <c r="HGX19" s="171"/>
      <c r="HGY19" s="171"/>
      <c r="HGZ19" s="171"/>
      <c r="HHA19" s="171"/>
      <c r="HHB19" s="171"/>
      <c r="HHC19" s="171"/>
      <c r="HHD19" s="171"/>
      <c r="HHE19" s="171"/>
      <c r="HHF19" s="171"/>
      <c r="HHG19" s="171"/>
      <c r="HHH19" s="171"/>
      <c r="HHI19" s="171"/>
      <c r="HHJ19" s="171"/>
      <c r="HHK19" s="171"/>
      <c r="HHL19" s="171"/>
      <c r="HHM19" s="171"/>
      <c r="HHN19" s="171"/>
      <c r="HHO19" s="171"/>
      <c r="HHP19" s="171"/>
      <c r="HHQ19" s="171"/>
      <c r="HHR19" s="171"/>
      <c r="HHS19" s="171"/>
      <c r="HHT19" s="171"/>
      <c r="HHU19" s="171"/>
      <c r="HHV19" s="171"/>
      <c r="HHW19" s="171"/>
      <c r="HHX19" s="171"/>
      <c r="HHY19" s="171"/>
      <c r="HHZ19" s="171"/>
      <c r="HIA19" s="171"/>
      <c r="HIB19" s="171"/>
      <c r="HIC19" s="171"/>
      <c r="HID19" s="171"/>
      <c r="HIE19" s="171"/>
      <c r="HIF19" s="171"/>
      <c r="HIG19" s="171"/>
      <c r="HIH19" s="171"/>
      <c r="HII19" s="171"/>
      <c r="HIJ19" s="171"/>
      <c r="HIK19" s="171"/>
      <c r="HIL19" s="171"/>
      <c r="HIM19" s="171"/>
      <c r="HIN19" s="171"/>
      <c r="HIO19" s="171"/>
      <c r="HIP19" s="171"/>
      <c r="HIQ19" s="171"/>
      <c r="HIR19" s="171"/>
      <c r="HIS19" s="171"/>
      <c r="HIT19" s="171"/>
      <c r="HIU19" s="171"/>
      <c r="HIV19" s="171"/>
      <c r="HIW19" s="171"/>
      <c r="HIX19" s="171"/>
      <c r="HIY19" s="171"/>
      <c r="HIZ19" s="171"/>
      <c r="HJA19" s="171"/>
      <c r="HJB19" s="171"/>
      <c r="HJC19" s="171"/>
      <c r="HJD19" s="171"/>
      <c r="HJE19" s="171"/>
      <c r="HJF19" s="171"/>
      <c r="HJG19" s="171"/>
      <c r="HJH19" s="171"/>
      <c r="HJI19" s="171"/>
      <c r="HJJ19" s="171"/>
      <c r="HJK19" s="171"/>
      <c r="HJL19" s="171"/>
      <c r="HJM19" s="171"/>
      <c r="HJN19" s="171"/>
      <c r="HJO19" s="171"/>
      <c r="HJP19" s="171"/>
      <c r="HJQ19" s="171"/>
      <c r="HJR19" s="171"/>
      <c r="HJS19" s="171"/>
      <c r="HJT19" s="171"/>
      <c r="HJU19" s="171"/>
      <c r="HJV19" s="171"/>
      <c r="HJW19" s="171"/>
      <c r="HJX19" s="171"/>
      <c r="HJY19" s="171"/>
      <c r="HJZ19" s="171"/>
      <c r="HKA19" s="171"/>
      <c r="HKB19" s="171"/>
      <c r="HKC19" s="171"/>
      <c r="HKD19" s="171"/>
      <c r="HKE19" s="171"/>
      <c r="HKF19" s="171"/>
      <c r="HKG19" s="171"/>
      <c r="HKH19" s="171"/>
      <c r="HKI19" s="171"/>
      <c r="HKJ19" s="171"/>
      <c r="HKK19" s="171"/>
      <c r="HKL19" s="171"/>
      <c r="HKM19" s="171"/>
      <c r="HKN19" s="171"/>
      <c r="HKO19" s="171"/>
      <c r="HKP19" s="171"/>
      <c r="HKQ19" s="171"/>
      <c r="HKR19" s="171"/>
      <c r="HKS19" s="171"/>
      <c r="HKT19" s="171"/>
      <c r="HKU19" s="171"/>
      <c r="HKV19" s="171"/>
      <c r="HKW19" s="171"/>
      <c r="HKX19" s="171"/>
      <c r="HKY19" s="171"/>
      <c r="HKZ19" s="171"/>
      <c r="HLA19" s="171"/>
      <c r="HLB19" s="171"/>
      <c r="HLC19" s="171"/>
      <c r="HLD19" s="171"/>
      <c r="HLE19" s="171"/>
      <c r="HLF19" s="171"/>
      <c r="HLG19" s="171"/>
      <c r="HLH19" s="171"/>
      <c r="HLI19" s="171"/>
      <c r="HLJ19" s="171"/>
      <c r="HLK19" s="171"/>
      <c r="HLL19" s="171"/>
      <c r="HLM19" s="171"/>
      <c r="HLN19" s="171"/>
      <c r="HLO19" s="171"/>
      <c r="HLP19" s="171"/>
      <c r="HLQ19" s="171"/>
      <c r="HLR19" s="171"/>
      <c r="HLS19" s="171"/>
      <c r="HLT19" s="171"/>
      <c r="HLU19" s="171"/>
      <c r="HLV19" s="171"/>
      <c r="HLW19" s="171"/>
      <c r="HLX19" s="171"/>
      <c r="HLY19" s="171"/>
      <c r="HLZ19" s="171"/>
      <c r="HMA19" s="171"/>
      <c r="HMB19" s="171"/>
      <c r="HMC19" s="171"/>
      <c r="HMD19" s="171"/>
      <c r="HME19" s="171"/>
      <c r="HMF19" s="171"/>
      <c r="HMG19" s="171"/>
      <c r="HMH19" s="171"/>
      <c r="HMI19" s="171"/>
      <c r="HMJ19" s="171"/>
      <c r="HMK19" s="171"/>
      <c r="HML19" s="171"/>
      <c r="HMM19" s="171"/>
      <c r="HMN19" s="171"/>
      <c r="HMO19" s="171"/>
      <c r="HMP19" s="171"/>
      <c r="HMQ19" s="171"/>
      <c r="HMR19" s="171"/>
      <c r="HMS19" s="171"/>
      <c r="HMT19" s="171"/>
      <c r="HMU19" s="171"/>
      <c r="HMV19" s="171"/>
      <c r="HMW19" s="171"/>
      <c r="HMX19" s="171"/>
      <c r="HMY19" s="171"/>
      <c r="HMZ19" s="171"/>
      <c r="HNA19" s="171"/>
      <c r="HNB19" s="171"/>
      <c r="HNC19" s="171"/>
      <c r="HND19" s="171"/>
      <c r="HNE19" s="171"/>
      <c r="HNF19" s="171"/>
      <c r="HNG19" s="171"/>
      <c r="HNH19" s="171"/>
      <c r="HNI19" s="171"/>
      <c r="HNJ19" s="171"/>
      <c r="HNK19" s="171"/>
      <c r="HNL19" s="171"/>
      <c r="HNM19" s="171"/>
      <c r="HNN19" s="171"/>
      <c r="HNO19" s="171"/>
      <c r="HNP19" s="171"/>
      <c r="HNQ19" s="171"/>
      <c r="HNR19" s="171"/>
      <c r="HNS19" s="171"/>
      <c r="HNT19" s="171"/>
      <c r="HNU19" s="171"/>
      <c r="HNV19" s="171"/>
      <c r="HNW19" s="171"/>
      <c r="HNX19" s="171"/>
      <c r="HNY19" s="171"/>
      <c r="HNZ19" s="171"/>
      <c r="HOA19" s="171"/>
      <c r="HOB19" s="171"/>
      <c r="HOC19" s="171"/>
      <c r="HOD19" s="171"/>
      <c r="HOE19" s="171"/>
      <c r="HOF19" s="171"/>
      <c r="HOG19" s="171"/>
      <c r="HOH19" s="171"/>
      <c r="HOI19" s="171"/>
      <c r="HOJ19" s="171"/>
      <c r="HOK19" s="171"/>
      <c r="HOL19" s="171"/>
      <c r="HOM19" s="171"/>
      <c r="HON19" s="171"/>
      <c r="HOO19" s="171"/>
      <c r="HOP19" s="171"/>
      <c r="HOQ19" s="171"/>
      <c r="HOR19" s="171"/>
      <c r="HOS19" s="171"/>
      <c r="HOT19" s="171"/>
      <c r="HOU19" s="171"/>
      <c r="HOV19" s="171"/>
      <c r="HOW19" s="171"/>
      <c r="HOX19" s="171"/>
      <c r="HOY19" s="171"/>
      <c r="HOZ19" s="171"/>
      <c r="HPA19" s="171"/>
      <c r="HPB19" s="171"/>
      <c r="HPC19" s="171"/>
      <c r="HPD19" s="171"/>
      <c r="HPE19" s="171"/>
      <c r="HPF19" s="171"/>
      <c r="HPG19" s="171"/>
      <c r="HPH19" s="171"/>
      <c r="HPI19" s="171"/>
      <c r="HPJ19" s="171"/>
      <c r="HPK19" s="171"/>
      <c r="HPL19" s="171"/>
      <c r="HPM19" s="171"/>
      <c r="HPN19" s="171"/>
      <c r="HPO19" s="171"/>
      <c r="HPP19" s="171"/>
      <c r="HPQ19" s="171"/>
      <c r="HPR19" s="171"/>
      <c r="HPS19" s="171"/>
      <c r="HPT19" s="171"/>
      <c r="HPU19" s="171"/>
      <c r="HPV19" s="171"/>
      <c r="HPW19" s="171"/>
      <c r="HPX19" s="171"/>
      <c r="HPY19" s="171"/>
      <c r="HPZ19" s="171"/>
      <c r="HQA19" s="171"/>
      <c r="HQB19" s="171"/>
      <c r="HQC19" s="171"/>
      <c r="HQD19" s="171"/>
      <c r="HQE19" s="171"/>
      <c r="HQF19" s="171"/>
      <c r="HQG19" s="171"/>
      <c r="HQH19" s="171"/>
      <c r="HQI19" s="171"/>
      <c r="HQJ19" s="171"/>
      <c r="HQK19" s="171"/>
      <c r="HQL19" s="171"/>
      <c r="HQM19" s="171"/>
      <c r="HQN19" s="171"/>
      <c r="HQO19" s="171"/>
      <c r="HQP19" s="171"/>
      <c r="HQQ19" s="171"/>
      <c r="HQR19" s="171"/>
      <c r="HQS19" s="171"/>
      <c r="HQT19" s="171"/>
      <c r="HQU19" s="171"/>
      <c r="HQV19" s="171"/>
      <c r="HQW19" s="171"/>
      <c r="HQX19" s="171"/>
      <c r="HQY19" s="171"/>
      <c r="HQZ19" s="171"/>
      <c r="HRA19" s="171"/>
      <c r="HRB19" s="171"/>
      <c r="HRC19" s="171"/>
      <c r="HRD19" s="171"/>
      <c r="HRE19" s="171"/>
      <c r="HRF19" s="171"/>
      <c r="HRG19" s="171"/>
      <c r="HRH19" s="171"/>
      <c r="HRI19" s="171"/>
      <c r="HRJ19" s="171"/>
      <c r="HRK19" s="171"/>
      <c r="HRL19" s="171"/>
      <c r="HRM19" s="171"/>
      <c r="HRN19" s="171"/>
      <c r="HRO19" s="171"/>
      <c r="HRP19" s="171"/>
      <c r="HRQ19" s="171"/>
      <c r="HRR19" s="171"/>
      <c r="HRS19" s="171"/>
      <c r="HRT19" s="171"/>
      <c r="HRU19" s="171"/>
      <c r="HRV19" s="171"/>
      <c r="HRW19" s="171"/>
      <c r="HRX19" s="171"/>
      <c r="HRY19" s="171"/>
      <c r="HRZ19" s="171"/>
      <c r="HSA19" s="171"/>
      <c r="HSB19" s="171"/>
      <c r="HSC19" s="171"/>
      <c r="HSD19" s="171"/>
      <c r="HSE19" s="171"/>
      <c r="HSF19" s="171"/>
      <c r="HSG19" s="171"/>
      <c r="HSH19" s="171"/>
      <c r="HSI19" s="171"/>
      <c r="HSJ19" s="171"/>
      <c r="HSK19" s="171"/>
      <c r="HSL19" s="171"/>
      <c r="HSM19" s="171"/>
      <c r="HSN19" s="171"/>
      <c r="HSO19" s="171"/>
      <c r="HSP19" s="171"/>
      <c r="HSQ19" s="171"/>
      <c r="HSR19" s="171"/>
      <c r="HSS19" s="171"/>
      <c r="HST19" s="171"/>
      <c r="HSU19" s="171"/>
      <c r="HSV19" s="171"/>
      <c r="HSW19" s="171"/>
      <c r="HSX19" s="171"/>
      <c r="HSY19" s="171"/>
      <c r="HSZ19" s="171"/>
      <c r="HTA19" s="171"/>
      <c r="HTB19" s="171"/>
      <c r="HTC19" s="171"/>
      <c r="HTD19" s="171"/>
      <c r="HTE19" s="171"/>
      <c r="HTF19" s="171"/>
      <c r="HTG19" s="171"/>
      <c r="HTH19" s="171"/>
      <c r="HTI19" s="171"/>
      <c r="HTJ19" s="171"/>
      <c r="HTK19" s="171"/>
      <c r="HTL19" s="171"/>
      <c r="HTM19" s="171"/>
      <c r="HTN19" s="171"/>
      <c r="HTO19" s="171"/>
      <c r="HTP19" s="171"/>
      <c r="HTQ19" s="171"/>
      <c r="HTR19" s="171"/>
      <c r="HTS19" s="171"/>
      <c r="HTT19" s="171"/>
      <c r="HTU19" s="171"/>
      <c r="HTV19" s="171"/>
      <c r="HTW19" s="171"/>
      <c r="HTX19" s="171"/>
      <c r="HTY19" s="171"/>
      <c r="HTZ19" s="171"/>
      <c r="HUA19" s="171"/>
      <c r="HUB19" s="171"/>
      <c r="HUC19" s="171"/>
      <c r="HUD19" s="171"/>
      <c r="HUE19" s="171"/>
      <c r="HUF19" s="171"/>
      <c r="HUG19" s="171"/>
      <c r="HUH19" s="171"/>
      <c r="HUI19" s="171"/>
      <c r="HUJ19" s="171"/>
      <c r="HUK19" s="171"/>
      <c r="HUL19" s="171"/>
      <c r="HUM19" s="171"/>
      <c r="HUN19" s="171"/>
      <c r="HUO19" s="171"/>
      <c r="HUP19" s="171"/>
      <c r="HUQ19" s="171"/>
      <c r="HUR19" s="171"/>
      <c r="HUS19" s="171"/>
      <c r="HUT19" s="171"/>
      <c r="HUU19" s="171"/>
      <c r="HUV19" s="171"/>
      <c r="HUW19" s="171"/>
      <c r="HUX19" s="171"/>
      <c r="HUY19" s="171"/>
      <c r="HUZ19" s="171"/>
      <c r="HVA19" s="171"/>
      <c r="HVB19" s="171"/>
      <c r="HVC19" s="171"/>
      <c r="HVD19" s="171"/>
      <c r="HVE19" s="171"/>
      <c r="HVF19" s="171"/>
      <c r="HVG19" s="171"/>
      <c r="HVH19" s="171"/>
      <c r="HVI19" s="171"/>
      <c r="HVJ19" s="171"/>
      <c r="HVK19" s="171"/>
      <c r="HVL19" s="171"/>
      <c r="HVM19" s="171"/>
      <c r="HVN19" s="171"/>
      <c r="HVO19" s="171"/>
      <c r="HVP19" s="171"/>
      <c r="HVQ19" s="171"/>
      <c r="HVR19" s="171"/>
      <c r="HVS19" s="171"/>
      <c r="HVT19" s="171"/>
      <c r="HVU19" s="171"/>
      <c r="HVV19" s="171"/>
      <c r="HVW19" s="171"/>
      <c r="HVX19" s="171"/>
      <c r="HVY19" s="171"/>
      <c r="HVZ19" s="171"/>
      <c r="HWA19" s="171"/>
      <c r="HWB19" s="171"/>
      <c r="HWC19" s="171"/>
      <c r="HWD19" s="171"/>
      <c r="HWE19" s="171"/>
      <c r="HWF19" s="171"/>
      <c r="HWG19" s="171"/>
      <c r="HWH19" s="171"/>
      <c r="HWI19" s="171"/>
      <c r="HWJ19" s="171"/>
      <c r="HWK19" s="171"/>
      <c r="HWL19" s="171"/>
      <c r="HWM19" s="171"/>
      <c r="HWN19" s="171"/>
      <c r="HWO19" s="171"/>
      <c r="HWP19" s="171"/>
      <c r="HWQ19" s="171"/>
      <c r="HWR19" s="171"/>
      <c r="HWS19" s="171"/>
      <c r="HWT19" s="171"/>
      <c r="HWU19" s="171"/>
      <c r="HWV19" s="171"/>
      <c r="HWW19" s="171"/>
      <c r="HWX19" s="171"/>
      <c r="HWY19" s="171"/>
      <c r="HWZ19" s="171"/>
      <c r="HXA19" s="171"/>
      <c r="HXB19" s="171"/>
      <c r="HXC19" s="171"/>
      <c r="HXD19" s="171"/>
      <c r="HXE19" s="171"/>
      <c r="HXF19" s="171"/>
      <c r="HXG19" s="171"/>
      <c r="HXH19" s="171"/>
      <c r="HXI19" s="171"/>
      <c r="HXJ19" s="171"/>
      <c r="HXK19" s="171"/>
      <c r="HXL19" s="171"/>
      <c r="HXM19" s="171"/>
      <c r="HXN19" s="171"/>
      <c r="HXO19" s="171"/>
      <c r="HXP19" s="171"/>
      <c r="HXQ19" s="171"/>
      <c r="HXR19" s="171"/>
      <c r="HXS19" s="171"/>
      <c r="HXT19" s="171"/>
      <c r="HXU19" s="171"/>
      <c r="HXV19" s="171"/>
      <c r="HXW19" s="171"/>
      <c r="HXX19" s="171"/>
      <c r="HXY19" s="171"/>
      <c r="HXZ19" s="171"/>
      <c r="HYA19" s="171"/>
      <c r="HYB19" s="171"/>
      <c r="HYC19" s="171"/>
      <c r="HYD19" s="171"/>
      <c r="HYE19" s="171"/>
      <c r="HYF19" s="171"/>
      <c r="HYG19" s="171"/>
      <c r="HYH19" s="171"/>
      <c r="HYI19" s="171"/>
      <c r="HYJ19" s="171"/>
      <c r="HYK19" s="171"/>
      <c r="HYL19" s="171"/>
      <c r="HYM19" s="171"/>
      <c r="HYN19" s="171"/>
      <c r="HYO19" s="171"/>
      <c r="HYP19" s="171"/>
      <c r="HYQ19" s="171"/>
      <c r="HYR19" s="171"/>
      <c r="HYS19" s="171"/>
      <c r="HYT19" s="171"/>
      <c r="HYU19" s="171"/>
      <c r="HYV19" s="171"/>
      <c r="HYW19" s="171"/>
      <c r="HYX19" s="171"/>
      <c r="HYY19" s="171"/>
      <c r="HYZ19" s="171"/>
      <c r="HZA19" s="171"/>
      <c r="HZB19" s="171"/>
      <c r="HZC19" s="171"/>
      <c r="HZD19" s="171"/>
      <c r="HZE19" s="171"/>
      <c r="HZF19" s="171"/>
      <c r="HZG19" s="171"/>
      <c r="HZH19" s="171"/>
      <c r="HZI19" s="171"/>
      <c r="HZJ19" s="171"/>
      <c r="HZK19" s="171"/>
      <c r="HZL19" s="171"/>
      <c r="HZM19" s="171"/>
      <c r="HZN19" s="171"/>
      <c r="HZO19" s="171"/>
      <c r="HZP19" s="171"/>
      <c r="HZQ19" s="171"/>
      <c r="HZR19" s="171"/>
      <c r="HZS19" s="171"/>
      <c r="HZT19" s="171"/>
      <c r="HZU19" s="171"/>
      <c r="HZV19" s="171"/>
      <c r="HZW19" s="171"/>
      <c r="HZX19" s="171"/>
      <c r="HZY19" s="171"/>
      <c r="HZZ19" s="171"/>
      <c r="IAA19" s="171"/>
      <c r="IAB19" s="171"/>
      <c r="IAC19" s="171"/>
      <c r="IAD19" s="171"/>
      <c r="IAE19" s="171"/>
      <c r="IAF19" s="171"/>
      <c r="IAG19" s="171"/>
      <c r="IAH19" s="171"/>
      <c r="IAI19" s="171"/>
      <c r="IAJ19" s="171"/>
      <c r="IAK19" s="171"/>
      <c r="IAL19" s="171"/>
      <c r="IAM19" s="171"/>
      <c r="IAN19" s="171"/>
      <c r="IAO19" s="171"/>
      <c r="IAP19" s="171"/>
      <c r="IAQ19" s="171"/>
      <c r="IAR19" s="171"/>
      <c r="IAS19" s="171"/>
      <c r="IAT19" s="171"/>
      <c r="IAU19" s="171"/>
      <c r="IAV19" s="171"/>
      <c r="IAW19" s="171"/>
      <c r="IAX19" s="171"/>
      <c r="IAY19" s="171"/>
      <c r="IAZ19" s="171"/>
      <c r="IBA19" s="171"/>
      <c r="IBB19" s="171"/>
      <c r="IBC19" s="171"/>
      <c r="IBD19" s="171"/>
      <c r="IBE19" s="171"/>
      <c r="IBF19" s="171"/>
      <c r="IBG19" s="171"/>
      <c r="IBH19" s="171"/>
      <c r="IBI19" s="171"/>
      <c r="IBJ19" s="171"/>
      <c r="IBK19" s="171"/>
      <c r="IBL19" s="171"/>
      <c r="IBM19" s="171"/>
      <c r="IBN19" s="171"/>
      <c r="IBO19" s="171"/>
      <c r="IBP19" s="171"/>
      <c r="IBQ19" s="171"/>
      <c r="IBR19" s="171"/>
      <c r="IBS19" s="171"/>
      <c r="IBT19" s="171"/>
      <c r="IBU19" s="171"/>
      <c r="IBV19" s="171"/>
      <c r="IBW19" s="171"/>
      <c r="IBX19" s="171"/>
      <c r="IBY19" s="171"/>
      <c r="IBZ19" s="171"/>
      <c r="ICA19" s="171"/>
      <c r="ICB19" s="171"/>
      <c r="ICC19" s="171"/>
      <c r="ICD19" s="171"/>
      <c r="ICE19" s="171"/>
      <c r="ICF19" s="171"/>
      <c r="ICG19" s="171"/>
      <c r="ICH19" s="171"/>
      <c r="ICI19" s="171"/>
      <c r="ICJ19" s="171"/>
      <c r="ICK19" s="171"/>
      <c r="ICL19" s="171"/>
      <c r="ICM19" s="171"/>
      <c r="ICN19" s="171"/>
      <c r="ICO19" s="171"/>
      <c r="ICP19" s="171"/>
      <c r="ICQ19" s="171"/>
      <c r="ICR19" s="171"/>
      <c r="ICS19" s="171"/>
      <c r="ICT19" s="171"/>
      <c r="ICU19" s="171"/>
      <c r="ICV19" s="171"/>
      <c r="ICW19" s="171"/>
      <c r="ICX19" s="171"/>
      <c r="ICY19" s="171"/>
      <c r="ICZ19" s="171"/>
      <c r="IDA19" s="171"/>
      <c r="IDB19" s="171"/>
      <c r="IDC19" s="171"/>
      <c r="IDD19" s="171"/>
      <c r="IDE19" s="171"/>
      <c r="IDF19" s="171"/>
      <c r="IDG19" s="171"/>
      <c r="IDH19" s="171"/>
      <c r="IDI19" s="171"/>
      <c r="IDJ19" s="171"/>
      <c r="IDK19" s="171"/>
      <c r="IDL19" s="171"/>
      <c r="IDM19" s="171"/>
      <c r="IDN19" s="171"/>
      <c r="IDO19" s="171"/>
      <c r="IDP19" s="171"/>
      <c r="IDQ19" s="171"/>
      <c r="IDR19" s="171"/>
      <c r="IDS19" s="171"/>
      <c r="IDT19" s="171"/>
      <c r="IDU19" s="171"/>
      <c r="IDV19" s="171"/>
      <c r="IDW19" s="171"/>
      <c r="IDX19" s="171"/>
      <c r="IDY19" s="171"/>
      <c r="IDZ19" s="171"/>
      <c r="IEA19" s="171"/>
      <c r="IEB19" s="171"/>
      <c r="IEC19" s="171"/>
      <c r="IED19" s="171"/>
      <c r="IEE19" s="171"/>
      <c r="IEF19" s="171"/>
      <c r="IEG19" s="171"/>
      <c r="IEH19" s="171"/>
      <c r="IEI19" s="171"/>
      <c r="IEJ19" s="171"/>
      <c r="IEK19" s="171"/>
      <c r="IEL19" s="171"/>
      <c r="IEM19" s="171"/>
      <c r="IEN19" s="171"/>
      <c r="IEO19" s="171"/>
      <c r="IEP19" s="171"/>
      <c r="IEQ19" s="171"/>
      <c r="IER19" s="171"/>
      <c r="IES19" s="171"/>
      <c r="IET19" s="171"/>
      <c r="IEU19" s="171"/>
      <c r="IEV19" s="171"/>
      <c r="IEW19" s="171"/>
      <c r="IEX19" s="171"/>
      <c r="IEY19" s="171"/>
      <c r="IEZ19" s="171"/>
      <c r="IFA19" s="171"/>
      <c r="IFB19" s="171"/>
      <c r="IFC19" s="171"/>
      <c r="IFD19" s="171"/>
      <c r="IFE19" s="171"/>
      <c r="IFF19" s="171"/>
      <c r="IFG19" s="171"/>
      <c r="IFH19" s="171"/>
      <c r="IFI19" s="171"/>
      <c r="IFJ19" s="171"/>
      <c r="IFK19" s="171"/>
      <c r="IFL19" s="171"/>
      <c r="IFM19" s="171"/>
      <c r="IFN19" s="171"/>
      <c r="IFO19" s="171"/>
      <c r="IFP19" s="171"/>
      <c r="IFQ19" s="171"/>
      <c r="IFR19" s="171"/>
      <c r="IFS19" s="171"/>
      <c r="IFT19" s="171"/>
      <c r="IFU19" s="171"/>
      <c r="IFV19" s="171"/>
      <c r="IFW19" s="171"/>
      <c r="IFX19" s="171"/>
      <c r="IFY19" s="171"/>
      <c r="IFZ19" s="171"/>
      <c r="IGA19" s="171"/>
      <c r="IGB19" s="171"/>
      <c r="IGC19" s="171"/>
      <c r="IGD19" s="171"/>
      <c r="IGE19" s="171"/>
      <c r="IGF19" s="171"/>
      <c r="IGG19" s="171"/>
      <c r="IGH19" s="171"/>
      <c r="IGI19" s="171"/>
      <c r="IGJ19" s="171"/>
      <c r="IGK19" s="171"/>
      <c r="IGL19" s="171"/>
      <c r="IGM19" s="171"/>
      <c r="IGN19" s="171"/>
      <c r="IGO19" s="171"/>
      <c r="IGP19" s="171"/>
      <c r="IGQ19" s="171"/>
      <c r="IGR19" s="171"/>
      <c r="IGS19" s="171"/>
      <c r="IGT19" s="171"/>
      <c r="IGU19" s="171"/>
      <c r="IGV19" s="171"/>
      <c r="IGW19" s="171"/>
      <c r="IGX19" s="171"/>
      <c r="IGY19" s="171"/>
      <c r="IGZ19" s="171"/>
      <c r="IHA19" s="171"/>
      <c r="IHB19" s="171"/>
      <c r="IHC19" s="171"/>
      <c r="IHD19" s="171"/>
      <c r="IHE19" s="171"/>
      <c r="IHF19" s="171"/>
      <c r="IHG19" s="171"/>
      <c r="IHH19" s="171"/>
      <c r="IHI19" s="171"/>
      <c r="IHJ19" s="171"/>
      <c r="IHK19" s="171"/>
      <c r="IHL19" s="171"/>
      <c r="IHM19" s="171"/>
      <c r="IHN19" s="171"/>
      <c r="IHO19" s="171"/>
      <c r="IHP19" s="171"/>
      <c r="IHQ19" s="171"/>
      <c r="IHR19" s="171"/>
      <c r="IHS19" s="171"/>
      <c r="IHT19" s="171"/>
      <c r="IHU19" s="171"/>
      <c r="IHV19" s="171"/>
      <c r="IHW19" s="171"/>
      <c r="IHX19" s="171"/>
      <c r="IHY19" s="171"/>
      <c r="IHZ19" s="171"/>
      <c r="IIA19" s="171"/>
      <c r="IIB19" s="171"/>
      <c r="IIC19" s="171"/>
      <c r="IID19" s="171"/>
      <c r="IIE19" s="171"/>
      <c r="IIF19" s="171"/>
      <c r="IIG19" s="171"/>
      <c r="IIH19" s="171"/>
      <c r="III19" s="171"/>
      <c r="IIJ19" s="171"/>
      <c r="IIK19" s="171"/>
      <c r="IIL19" s="171"/>
      <c r="IIM19" s="171"/>
      <c r="IIN19" s="171"/>
      <c r="IIO19" s="171"/>
      <c r="IIP19" s="171"/>
      <c r="IIQ19" s="171"/>
      <c r="IIR19" s="171"/>
      <c r="IIS19" s="171"/>
      <c r="IIT19" s="171"/>
      <c r="IIU19" s="171"/>
      <c r="IIV19" s="171"/>
      <c r="IIW19" s="171"/>
      <c r="IIX19" s="171"/>
      <c r="IIY19" s="171"/>
      <c r="IIZ19" s="171"/>
      <c r="IJA19" s="171"/>
      <c r="IJB19" s="171"/>
      <c r="IJC19" s="171"/>
      <c r="IJD19" s="171"/>
      <c r="IJE19" s="171"/>
      <c r="IJF19" s="171"/>
      <c r="IJG19" s="171"/>
      <c r="IJH19" s="171"/>
      <c r="IJI19" s="171"/>
      <c r="IJJ19" s="171"/>
      <c r="IJK19" s="171"/>
      <c r="IJL19" s="171"/>
      <c r="IJM19" s="171"/>
      <c r="IJN19" s="171"/>
      <c r="IJO19" s="171"/>
      <c r="IJP19" s="171"/>
      <c r="IJQ19" s="171"/>
      <c r="IJR19" s="171"/>
      <c r="IJS19" s="171"/>
      <c r="IJT19" s="171"/>
      <c r="IJU19" s="171"/>
      <c r="IJV19" s="171"/>
      <c r="IJW19" s="171"/>
      <c r="IJX19" s="171"/>
      <c r="IJY19" s="171"/>
      <c r="IJZ19" s="171"/>
      <c r="IKA19" s="171"/>
      <c r="IKB19" s="171"/>
      <c r="IKC19" s="171"/>
      <c r="IKD19" s="171"/>
      <c r="IKE19" s="171"/>
      <c r="IKF19" s="171"/>
      <c r="IKG19" s="171"/>
      <c r="IKH19" s="171"/>
      <c r="IKI19" s="171"/>
      <c r="IKJ19" s="171"/>
      <c r="IKK19" s="171"/>
      <c r="IKL19" s="171"/>
      <c r="IKM19" s="171"/>
      <c r="IKN19" s="171"/>
      <c r="IKO19" s="171"/>
      <c r="IKP19" s="171"/>
      <c r="IKQ19" s="171"/>
      <c r="IKR19" s="171"/>
      <c r="IKS19" s="171"/>
      <c r="IKT19" s="171"/>
      <c r="IKU19" s="171"/>
      <c r="IKV19" s="171"/>
      <c r="IKW19" s="171"/>
      <c r="IKX19" s="171"/>
      <c r="IKY19" s="171"/>
      <c r="IKZ19" s="171"/>
      <c r="ILA19" s="171"/>
      <c r="ILB19" s="171"/>
      <c r="ILC19" s="171"/>
      <c r="ILD19" s="171"/>
      <c r="ILE19" s="171"/>
      <c r="ILF19" s="171"/>
      <c r="ILG19" s="171"/>
      <c r="ILH19" s="171"/>
      <c r="ILI19" s="171"/>
      <c r="ILJ19" s="171"/>
      <c r="ILK19" s="171"/>
      <c r="ILL19" s="171"/>
      <c r="ILM19" s="171"/>
      <c r="ILN19" s="171"/>
      <c r="ILO19" s="171"/>
      <c r="ILP19" s="171"/>
      <c r="ILQ19" s="171"/>
      <c r="ILR19" s="171"/>
      <c r="ILS19" s="171"/>
      <c r="ILT19" s="171"/>
      <c r="ILU19" s="171"/>
      <c r="ILV19" s="171"/>
      <c r="ILW19" s="171"/>
      <c r="ILX19" s="171"/>
      <c r="ILY19" s="171"/>
      <c r="ILZ19" s="171"/>
      <c r="IMA19" s="171"/>
      <c r="IMB19" s="171"/>
      <c r="IMC19" s="171"/>
      <c r="IMD19" s="171"/>
      <c r="IME19" s="171"/>
      <c r="IMF19" s="171"/>
      <c r="IMG19" s="171"/>
      <c r="IMH19" s="171"/>
      <c r="IMI19" s="171"/>
      <c r="IMJ19" s="171"/>
      <c r="IMK19" s="171"/>
      <c r="IML19" s="171"/>
      <c r="IMM19" s="171"/>
      <c r="IMN19" s="171"/>
      <c r="IMO19" s="171"/>
      <c r="IMP19" s="171"/>
      <c r="IMQ19" s="171"/>
      <c r="IMR19" s="171"/>
      <c r="IMS19" s="171"/>
      <c r="IMT19" s="171"/>
      <c r="IMU19" s="171"/>
      <c r="IMV19" s="171"/>
      <c r="IMW19" s="171"/>
      <c r="IMX19" s="171"/>
      <c r="IMY19" s="171"/>
      <c r="IMZ19" s="171"/>
      <c r="INA19" s="171"/>
      <c r="INB19" s="171"/>
      <c r="INC19" s="171"/>
      <c r="IND19" s="171"/>
      <c r="INE19" s="171"/>
      <c r="INF19" s="171"/>
      <c r="ING19" s="171"/>
      <c r="INH19" s="171"/>
      <c r="INI19" s="171"/>
      <c r="INJ19" s="171"/>
      <c r="INK19" s="171"/>
      <c r="INL19" s="171"/>
      <c r="INM19" s="171"/>
      <c r="INN19" s="171"/>
      <c r="INO19" s="171"/>
      <c r="INP19" s="171"/>
      <c r="INQ19" s="171"/>
      <c r="INR19" s="171"/>
      <c r="INS19" s="171"/>
      <c r="INT19" s="171"/>
      <c r="INU19" s="171"/>
      <c r="INV19" s="171"/>
      <c r="INW19" s="171"/>
      <c r="INX19" s="171"/>
      <c r="INY19" s="171"/>
      <c r="INZ19" s="171"/>
      <c r="IOA19" s="171"/>
      <c r="IOB19" s="171"/>
      <c r="IOC19" s="171"/>
      <c r="IOD19" s="171"/>
      <c r="IOE19" s="171"/>
      <c r="IOF19" s="171"/>
      <c r="IOG19" s="171"/>
      <c r="IOH19" s="171"/>
      <c r="IOI19" s="171"/>
      <c r="IOJ19" s="171"/>
      <c r="IOK19" s="171"/>
      <c r="IOL19" s="171"/>
      <c r="IOM19" s="171"/>
      <c r="ION19" s="171"/>
      <c r="IOO19" s="171"/>
      <c r="IOP19" s="171"/>
      <c r="IOQ19" s="171"/>
      <c r="IOR19" s="171"/>
      <c r="IOS19" s="171"/>
      <c r="IOT19" s="171"/>
      <c r="IOU19" s="171"/>
      <c r="IOV19" s="171"/>
      <c r="IOW19" s="171"/>
      <c r="IOX19" s="171"/>
      <c r="IOY19" s="171"/>
      <c r="IOZ19" s="171"/>
      <c r="IPA19" s="171"/>
      <c r="IPB19" s="171"/>
      <c r="IPC19" s="171"/>
      <c r="IPD19" s="171"/>
      <c r="IPE19" s="171"/>
      <c r="IPF19" s="171"/>
      <c r="IPG19" s="171"/>
      <c r="IPH19" s="171"/>
      <c r="IPI19" s="171"/>
      <c r="IPJ19" s="171"/>
      <c r="IPK19" s="171"/>
      <c r="IPL19" s="171"/>
      <c r="IPM19" s="171"/>
      <c r="IPN19" s="171"/>
      <c r="IPO19" s="171"/>
      <c r="IPP19" s="171"/>
      <c r="IPQ19" s="171"/>
      <c r="IPR19" s="171"/>
      <c r="IPS19" s="171"/>
      <c r="IPT19" s="171"/>
      <c r="IPU19" s="171"/>
      <c r="IPV19" s="171"/>
      <c r="IPW19" s="171"/>
      <c r="IPX19" s="171"/>
      <c r="IPY19" s="171"/>
      <c r="IPZ19" s="171"/>
      <c r="IQA19" s="171"/>
      <c r="IQB19" s="171"/>
      <c r="IQC19" s="171"/>
      <c r="IQD19" s="171"/>
      <c r="IQE19" s="171"/>
      <c r="IQF19" s="171"/>
      <c r="IQG19" s="171"/>
      <c r="IQH19" s="171"/>
      <c r="IQI19" s="171"/>
      <c r="IQJ19" s="171"/>
      <c r="IQK19" s="171"/>
      <c r="IQL19" s="171"/>
      <c r="IQM19" s="171"/>
      <c r="IQN19" s="171"/>
      <c r="IQO19" s="171"/>
      <c r="IQP19" s="171"/>
      <c r="IQQ19" s="171"/>
      <c r="IQR19" s="171"/>
      <c r="IQS19" s="171"/>
      <c r="IQT19" s="171"/>
      <c r="IQU19" s="171"/>
      <c r="IQV19" s="171"/>
      <c r="IQW19" s="171"/>
      <c r="IQX19" s="171"/>
      <c r="IQY19" s="171"/>
      <c r="IQZ19" s="171"/>
      <c r="IRA19" s="171"/>
      <c r="IRB19" s="171"/>
      <c r="IRC19" s="171"/>
      <c r="IRD19" s="171"/>
      <c r="IRE19" s="171"/>
      <c r="IRF19" s="171"/>
      <c r="IRG19" s="171"/>
      <c r="IRH19" s="171"/>
      <c r="IRI19" s="171"/>
      <c r="IRJ19" s="171"/>
      <c r="IRK19" s="171"/>
      <c r="IRL19" s="171"/>
      <c r="IRM19" s="171"/>
      <c r="IRN19" s="171"/>
      <c r="IRO19" s="171"/>
      <c r="IRP19" s="171"/>
      <c r="IRQ19" s="171"/>
      <c r="IRR19" s="171"/>
      <c r="IRS19" s="171"/>
      <c r="IRT19" s="171"/>
      <c r="IRU19" s="171"/>
      <c r="IRV19" s="171"/>
      <c r="IRW19" s="171"/>
      <c r="IRX19" s="171"/>
      <c r="IRY19" s="171"/>
      <c r="IRZ19" s="171"/>
      <c r="ISA19" s="171"/>
      <c r="ISB19" s="171"/>
      <c r="ISC19" s="171"/>
      <c r="ISD19" s="171"/>
      <c r="ISE19" s="171"/>
      <c r="ISF19" s="171"/>
      <c r="ISG19" s="171"/>
      <c r="ISH19" s="171"/>
      <c r="ISI19" s="171"/>
      <c r="ISJ19" s="171"/>
      <c r="ISK19" s="171"/>
      <c r="ISL19" s="171"/>
      <c r="ISM19" s="171"/>
      <c r="ISN19" s="171"/>
      <c r="ISO19" s="171"/>
      <c r="ISP19" s="171"/>
      <c r="ISQ19" s="171"/>
      <c r="ISR19" s="171"/>
      <c r="ISS19" s="171"/>
      <c r="IST19" s="171"/>
      <c r="ISU19" s="171"/>
      <c r="ISV19" s="171"/>
      <c r="ISW19" s="171"/>
      <c r="ISX19" s="171"/>
      <c r="ISY19" s="171"/>
      <c r="ISZ19" s="171"/>
      <c r="ITA19" s="171"/>
      <c r="ITB19" s="171"/>
      <c r="ITC19" s="171"/>
      <c r="ITD19" s="171"/>
      <c r="ITE19" s="171"/>
      <c r="ITF19" s="171"/>
      <c r="ITG19" s="171"/>
      <c r="ITH19" s="171"/>
      <c r="ITI19" s="171"/>
      <c r="ITJ19" s="171"/>
      <c r="ITK19" s="171"/>
      <c r="ITL19" s="171"/>
      <c r="ITM19" s="171"/>
      <c r="ITN19" s="171"/>
      <c r="ITO19" s="171"/>
      <c r="ITP19" s="171"/>
      <c r="ITQ19" s="171"/>
      <c r="ITR19" s="171"/>
      <c r="ITS19" s="171"/>
      <c r="ITT19" s="171"/>
      <c r="ITU19" s="171"/>
      <c r="ITV19" s="171"/>
      <c r="ITW19" s="171"/>
      <c r="ITX19" s="171"/>
      <c r="ITY19" s="171"/>
      <c r="ITZ19" s="171"/>
      <c r="IUA19" s="171"/>
      <c r="IUB19" s="171"/>
      <c r="IUC19" s="171"/>
      <c r="IUD19" s="171"/>
      <c r="IUE19" s="171"/>
      <c r="IUF19" s="171"/>
      <c r="IUG19" s="171"/>
      <c r="IUH19" s="171"/>
      <c r="IUI19" s="171"/>
      <c r="IUJ19" s="171"/>
      <c r="IUK19" s="171"/>
      <c r="IUL19" s="171"/>
      <c r="IUM19" s="171"/>
      <c r="IUN19" s="171"/>
      <c r="IUO19" s="171"/>
      <c r="IUP19" s="171"/>
      <c r="IUQ19" s="171"/>
      <c r="IUR19" s="171"/>
      <c r="IUS19" s="171"/>
      <c r="IUT19" s="171"/>
      <c r="IUU19" s="171"/>
      <c r="IUV19" s="171"/>
      <c r="IUW19" s="171"/>
      <c r="IUX19" s="171"/>
      <c r="IUY19" s="171"/>
      <c r="IUZ19" s="171"/>
      <c r="IVA19" s="171"/>
      <c r="IVB19" s="171"/>
      <c r="IVC19" s="171"/>
      <c r="IVD19" s="171"/>
      <c r="IVE19" s="171"/>
      <c r="IVF19" s="171"/>
      <c r="IVG19" s="171"/>
      <c r="IVH19" s="171"/>
      <c r="IVI19" s="171"/>
      <c r="IVJ19" s="171"/>
      <c r="IVK19" s="171"/>
      <c r="IVL19" s="171"/>
      <c r="IVM19" s="171"/>
      <c r="IVN19" s="171"/>
      <c r="IVO19" s="171"/>
      <c r="IVP19" s="171"/>
      <c r="IVQ19" s="171"/>
      <c r="IVR19" s="171"/>
      <c r="IVS19" s="171"/>
      <c r="IVT19" s="171"/>
      <c r="IVU19" s="171"/>
      <c r="IVV19" s="171"/>
      <c r="IVW19" s="171"/>
      <c r="IVX19" s="171"/>
      <c r="IVY19" s="171"/>
      <c r="IVZ19" s="171"/>
      <c r="IWA19" s="171"/>
      <c r="IWB19" s="171"/>
      <c r="IWC19" s="171"/>
      <c r="IWD19" s="171"/>
      <c r="IWE19" s="171"/>
      <c r="IWF19" s="171"/>
      <c r="IWG19" s="171"/>
      <c r="IWH19" s="171"/>
      <c r="IWI19" s="171"/>
      <c r="IWJ19" s="171"/>
      <c r="IWK19" s="171"/>
      <c r="IWL19" s="171"/>
      <c r="IWM19" s="171"/>
      <c r="IWN19" s="171"/>
      <c r="IWO19" s="171"/>
      <c r="IWP19" s="171"/>
      <c r="IWQ19" s="171"/>
      <c r="IWR19" s="171"/>
      <c r="IWS19" s="171"/>
      <c r="IWT19" s="171"/>
      <c r="IWU19" s="171"/>
      <c r="IWV19" s="171"/>
      <c r="IWW19" s="171"/>
      <c r="IWX19" s="171"/>
      <c r="IWY19" s="171"/>
      <c r="IWZ19" s="171"/>
      <c r="IXA19" s="171"/>
      <c r="IXB19" s="171"/>
      <c r="IXC19" s="171"/>
      <c r="IXD19" s="171"/>
      <c r="IXE19" s="171"/>
      <c r="IXF19" s="171"/>
      <c r="IXG19" s="171"/>
      <c r="IXH19" s="171"/>
      <c r="IXI19" s="171"/>
      <c r="IXJ19" s="171"/>
      <c r="IXK19" s="171"/>
      <c r="IXL19" s="171"/>
      <c r="IXM19" s="171"/>
      <c r="IXN19" s="171"/>
      <c r="IXO19" s="171"/>
      <c r="IXP19" s="171"/>
      <c r="IXQ19" s="171"/>
      <c r="IXR19" s="171"/>
      <c r="IXS19" s="171"/>
      <c r="IXT19" s="171"/>
      <c r="IXU19" s="171"/>
      <c r="IXV19" s="171"/>
      <c r="IXW19" s="171"/>
      <c r="IXX19" s="171"/>
      <c r="IXY19" s="171"/>
      <c r="IXZ19" s="171"/>
      <c r="IYA19" s="171"/>
      <c r="IYB19" s="171"/>
      <c r="IYC19" s="171"/>
      <c r="IYD19" s="171"/>
      <c r="IYE19" s="171"/>
      <c r="IYF19" s="171"/>
      <c r="IYG19" s="171"/>
      <c r="IYH19" s="171"/>
      <c r="IYI19" s="171"/>
      <c r="IYJ19" s="171"/>
      <c r="IYK19" s="171"/>
      <c r="IYL19" s="171"/>
      <c r="IYM19" s="171"/>
      <c r="IYN19" s="171"/>
      <c r="IYO19" s="171"/>
      <c r="IYP19" s="171"/>
      <c r="IYQ19" s="171"/>
      <c r="IYR19" s="171"/>
      <c r="IYS19" s="171"/>
      <c r="IYT19" s="171"/>
      <c r="IYU19" s="171"/>
      <c r="IYV19" s="171"/>
      <c r="IYW19" s="171"/>
      <c r="IYX19" s="171"/>
      <c r="IYY19" s="171"/>
      <c r="IYZ19" s="171"/>
      <c r="IZA19" s="171"/>
      <c r="IZB19" s="171"/>
      <c r="IZC19" s="171"/>
      <c r="IZD19" s="171"/>
      <c r="IZE19" s="171"/>
      <c r="IZF19" s="171"/>
      <c r="IZG19" s="171"/>
      <c r="IZH19" s="171"/>
      <c r="IZI19" s="171"/>
      <c r="IZJ19" s="171"/>
      <c r="IZK19" s="171"/>
      <c r="IZL19" s="171"/>
      <c r="IZM19" s="171"/>
      <c r="IZN19" s="171"/>
      <c r="IZO19" s="171"/>
      <c r="IZP19" s="171"/>
      <c r="IZQ19" s="171"/>
      <c r="IZR19" s="171"/>
      <c r="IZS19" s="171"/>
      <c r="IZT19" s="171"/>
      <c r="IZU19" s="171"/>
      <c r="IZV19" s="171"/>
      <c r="IZW19" s="171"/>
      <c r="IZX19" s="171"/>
      <c r="IZY19" s="171"/>
      <c r="IZZ19" s="171"/>
      <c r="JAA19" s="171"/>
      <c r="JAB19" s="171"/>
      <c r="JAC19" s="171"/>
      <c r="JAD19" s="171"/>
      <c r="JAE19" s="171"/>
      <c r="JAF19" s="171"/>
      <c r="JAG19" s="171"/>
      <c r="JAH19" s="171"/>
      <c r="JAI19" s="171"/>
      <c r="JAJ19" s="171"/>
      <c r="JAK19" s="171"/>
      <c r="JAL19" s="171"/>
      <c r="JAM19" s="171"/>
      <c r="JAN19" s="171"/>
      <c r="JAO19" s="171"/>
      <c r="JAP19" s="171"/>
      <c r="JAQ19" s="171"/>
      <c r="JAR19" s="171"/>
      <c r="JAS19" s="171"/>
      <c r="JAT19" s="171"/>
      <c r="JAU19" s="171"/>
      <c r="JAV19" s="171"/>
      <c r="JAW19" s="171"/>
      <c r="JAX19" s="171"/>
      <c r="JAY19" s="171"/>
      <c r="JAZ19" s="171"/>
      <c r="JBA19" s="171"/>
      <c r="JBB19" s="171"/>
      <c r="JBC19" s="171"/>
      <c r="JBD19" s="171"/>
      <c r="JBE19" s="171"/>
      <c r="JBF19" s="171"/>
      <c r="JBG19" s="171"/>
      <c r="JBH19" s="171"/>
      <c r="JBI19" s="171"/>
      <c r="JBJ19" s="171"/>
      <c r="JBK19" s="171"/>
      <c r="JBL19" s="171"/>
      <c r="JBM19" s="171"/>
      <c r="JBN19" s="171"/>
      <c r="JBO19" s="171"/>
      <c r="JBP19" s="171"/>
      <c r="JBQ19" s="171"/>
      <c r="JBR19" s="171"/>
      <c r="JBS19" s="171"/>
      <c r="JBT19" s="171"/>
      <c r="JBU19" s="171"/>
      <c r="JBV19" s="171"/>
      <c r="JBW19" s="171"/>
      <c r="JBX19" s="171"/>
      <c r="JBY19" s="171"/>
      <c r="JBZ19" s="171"/>
      <c r="JCA19" s="171"/>
      <c r="JCB19" s="171"/>
      <c r="JCC19" s="171"/>
      <c r="JCD19" s="171"/>
      <c r="JCE19" s="171"/>
      <c r="JCF19" s="171"/>
      <c r="JCG19" s="171"/>
      <c r="JCH19" s="171"/>
      <c r="JCI19" s="171"/>
      <c r="JCJ19" s="171"/>
      <c r="JCK19" s="171"/>
      <c r="JCL19" s="171"/>
      <c r="JCM19" s="171"/>
      <c r="JCN19" s="171"/>
      <c r="JCO19" s="171"/>
      <c r="JCP19" s="171"/>
      <c r="JCQ19" s="171"/>
      <c r="JCR19" s="171"/>
      <c r="JCS19" s="171"/>
      <c r="JCT19" s="171"/>
      <c r="JCU19" s="171"/>
      <c r="JCV19" s="171"/>
      <c r="JCW19" s="171"/>
      <c r="JCX19" s="171"/>
      <c r="JCY19" s="171"/>
      <c r="JCZ19" s="171"/>
      <c r="JDA19" s="171"/>
      <c r="JDB19" s="171"/>
      <c r="JDC19" s="171"/>
      <c r="JDD19" s="171"/>
      <c r="JDE19" s="171"/>
      <c r="JDF19" s="171"/>
      <c r="JDG19" s="171"/>
      <c r="JDH19" s="171"/>
      <c r="JDI19" s="171"/>
      <c r="JDJ19" s="171"/>
      <c r="JDK19" s="171"/>
      <c r="JDL19" s="171"/>
      <c r="JDM19" s="171"/>
      <c r="JDN19" s="171"/>
      <c r="JDO19" s="171"/>
      <c r="JDP19" s="171"/>
      <c r="JDQ19" s="171"/>
      <c r="JDR19" s="171"/>
      <c r="JDS19" s="171"/>
      <c r="JDT19" s="171"/>
      <c r="JDU19" s="171"/>
      <c r="JDV19" s="171"/>
      <c r="JDW19" s="171"/>
      <c r="JDX19" s="171"/>
      <c r="JDY19" s="171"/>
      <c r="JDZ19" s="171"/>
      <c r="JEA19" s="171"/>
      <c r="JEB19" s="171"/>
      <c r="JEC19" s="171"/>
      <c r="JED19" s="171"/>
      <c r="JEE19" s="171"/>
      <c r="JEF19" s="171"/>
      <c r="JEG19" s="171"/>
      <c r="JEH19" s="171"/>
      <c r="JEI19" s="171"/>
      <c r="JEJ19" s="171"/>
      <c r="JEK19" s="171"/>
      <c r="JEL19" s="171"/>
      <c r="JEM19" s="171"/>
      <c r="JEN19" s="171"/>
      <c r="JEO19" s="171"/>
      <c r="JEP19" s="171"/>
      <c r="JEQ19" s="171"/>
      <c r="JER19" s="171"/>
      <c r="JES19" s="171"/>
      <c r="JET19" s="171"/>
      <c r="JEU19" s="171"/>
      <c r="JEV19" s="171"/>
      <c r="JEW19" s="171"/>
      <c r="JEX19" s="171"/>
      <c r="JEY19" s="171"/>
      <c r="JEZ19" s="171"/>
      <c r="JFA19" s="171"/>
      <c r="JFB19" s="171"/>
      <c r="JFC19" s="171"/>
      <c r="JFD19" s="171"/>
      <c r="JFE19" s="171"/>
      <c r="JFF19" s="171"/>
      <c r="JFG19" s="171"/>
      <c r="JFH19" s="171"/>
      <c r="JFI19" s="171"/>
      <c r="JFJ19" s="171"/>
      <c r="JFK19" s="171"/>
      <c r="JFL19" s="171"/>
      <c r="JFM19" s="171"/>
      <c r="JFN19" s="171"/>
      <c r="JFO19" s="171"/>
      <c r="JFP19" s="171"/>
      <c r="JFQ19" s="171"/>
      <c r="JFR19" s="171"/>
      <c r="JFS19" s="171"/>
      <c r="JFT19" s="171"/>
      <c r="JFU19" s="171"/>
      <c r="JFV19" s="171"/>
      <c r="JFW19" s="171"/>
      <c r="JFX19" s="171"/>
      <c r="JFY19" s="171"/>
      <c r="JFZ19" s="171"/>
      <c r="JGA19" s="171"/>
      <c r="JGB19" s="171"/>
      <c r="JGC19" s="171"/>
      <c r="JGD19" s="171"/>
      <c r="JGE19" s="171"/>
      <c r="JGF19" s="171"/>
      <c r="JGG19" s="171"/>
      <c r="JGH19" s="171"/>
      <c r="JGI19" s="171"/>
      <c r="JGJ19" s="171"/>
      <c r="JGK19" s="171"/>
      <c r="JGL19" s="171"/>
      <c r="JGM19" s="171"/>
      <c r="JGN19" s="171"/>
      <c r="JGO19" s="171"/>
      <c r="JGP19" s="171"/>
      <c r="JGQ19" s="171"/>
      <c r="JGR19" s="171"/>
      <c r="JGS19" s="171"/>
      <c r="JGT19" s="171"/>
      <c r="JGU19" s="171"/>
      <c r="JGV19" s="171"/>
      <c r="JGW19" s="171"/>
      <c r="JGX19" s="171"/>
      <c r="JGY19" s="171"/>
      <c r="JGZ19" s="171"/>
      <c r="JHA19" s="171"/>
      <c r="JHB19" s="171"/>
      <c r="JHC19" s="171"/>
      <c r="JHD19" s="171"/>
      <c r="JHE19" s="171"/>
      <c r="JHF19" s="171"/>
      <c r="JHG19" s="171"/>
      <c r="JHH19" s="171"/>
      <c r="JHI19" s="171"/>
      <c r="JHJ19" s="171"/>
      <c r="JHK19" s="171"/>
      <c r="JHL19" s="171"/>
      <c r="JHM19" s="171"/>
      <c r="JHN19" s="171"/>
      <c r="JHO19" s="171"/>
      <c r="JHP19" s="171"/>
      <c r="JHQ19" s="171"/>
      <c r="JHR19" s="171"/>
      <c r="JHS19" s="171"/>
      <c r="JHT19" s="171"/>
      <c r="JHU19" s="171"/>
      <c r="JHV19" s="171"/>
      <c r="JHW19" s="171"/>
      <c r="JHX19" s="171"/>
      <c r="JHY19" s="171"/>
      <c r="JHZ19" s="171"/>
      <c r="JIA19" s="171"/>
      <c r="JIB19" s="171"/>
      <c r="JIC19" s="171"/>
      <c r="JID19" s="171"/>
      <c r="JIE19" s="171"/>
      <c r="JIF19" s="171"/>
      <c r="JIG19" s="171"/>
      <c r="JIH19" s="171"/>
      <c r="JII19" s="171"/>
      <c r="JIJ19" s="171"/>
      <c r="JIK19" s="171"/>
      <c r="JIL19" s="171"/>
      <c r="JIM19" s="171"/>
      <c r="JIN19" s="171"/>
      <c r="JIO19" s="171"/>
      <c r="JIP19" s="171"/>
      <c r="JIQ19" s="171"/>
      <c r="JIR19" s="171"/>
      <c r="JIS19" s="171"/>
      <c r="JIT19" s="171"/>
      <c r="JIU19" s="171"/>
      <c r="JIV19" s="171"/>
      <c r="JIW19" s="171"/>
      <c r="JIX19" s="171"/>
      <c r="JIY19" s="171"/>
      <c r="JIZ19" s="171"/>
      <c r="JJA19" s="171"/>
      <c r="JJB19" s="171"/>
      <c r="JJC19" s="171"/>
      <c r="JJD19" s="171"/>
      <c r="JJE19" s="171"/>
      <c r="JJF19" s="171"/>
      <c r="JJG19" s="171"/>
      <c r="JJH19" s="171"/>
      <c r="JJI19" s="171"/>
      <c r="JJJ19" s="171"/>
      <c r="JJK19" s="171"/>
      <c r="JJL19" s="171"/>
      <c r="JJM19" s="171"/>
      <c r="JJN19" s="171"/>
      <c r="JJO19" s="171"/>
      <c r="JJP19" s="171"/>
      <c r="JJQ19" s="171"/>
      <c r="JJR19" s="171"/>
      <c r="JJS19" s="171"/>
      <c r="JJT19" s="171"/>
      <c r="JJU19" s="171"/>
      <c r="JJV19" s="171"/>
      <c r="JJW19" s="171"/>
      <c r="JJX19" s="171"/>
      <c r="JJY19" s="171"/>
      <c r="JJZ19" s="171"/>
      <c r="JKA19" s="171"/>
      <c r="JKB19" s="171"/>
      <c r="JKC19" s="171"/>
      <c r="JKD19" s="171"/>
      <c r="JKE19" s="171"/>
      <c r="JKF19" s="171"/>
      <c r="JKG19" s="171"/>
      <c r="JKH19" s="171"/>
      <c r="JKI19" s="171"/>
      <c r="JKJ19" s="171"/>
      <c r="JKK19" s="171"/>
      <c r="JKL19" s="171"/>
      <c r="JKM19" s="171"/>
      <c r="JKN19" s="171"/>
      <c r="JKO19" s="171"/>
      <c r="JKP19" s="171"/>
      <c r="JKQ19" s="171"/>
      <c r="JKR19" s="171"/>
      <c r="JKS19" s="171"/>
      <c r="JKT19" s="171"/>
      <c r="JKU19" s="171"/>
      <c r="JKV19" s="171"/>
      <c r="JKW19" s="171"/>
      <c r="JKX19" s="171"/>
      <c r="JKY19" s="171"/>
      <c r="JKZ19" s="171"/>
      <c r="JLA19" s="171"/>
      <c r="JLB19" s="171"/>
      <c r="JLC19" s="171"/>
      <c r="JLD19" s="171"/>
      <c r="JLE19" s="171"/>
      <c r="JLF19" s="171"/>
      <c r="JLG19" s="171"/>
      <c r="JLH19" s="171"/>
      <c r="JLI19" s="171"/>
      <c r="JLJ19" s="171"/>
      <c r="JLK19" s="171"/>
      <c r="JLL19" s="171"/>
      <c r="JLM19" s="171"/>
      <c r="JLN19" s="171"/>
      <c r="JLO19" s="171"/>
      <c r="JLP19" s="171"/>
      <c r="JLQ19" s="171"/>
      <c r="JLR19" s="171"/>
      <c r="JLS19" s="171"/>
      <c r="JLT19" s="171"/>
      <c r="JLU19" s="171"/>
      <c r="JLV19" s="171"/>
      <c r="JLW19" s="171"/>
      <c r="JLX19" s="171"/>
      <c r="JLY19" s="171"/>
      <c r="JLZ19" s="171"/>
      <c r="JMA19" s="171"/>
      <c r="JMB19" s="171"/>
      <c r="JMC19" s="171"/>
      <c r="JMD19" s="171"/>
      <c r="JME19" s="171"/>
      <c r="JMF19" s="171"/>
      <c r="JMG19" s="171"/>
      <c r="JMH19" s="171"/>
      <c r="JMI19" s="171"/>
      <c r="JMJ19" s="171"/>
      <c r="JMK19" s="171"/>
      <c r="JML19" s="171"/>
      <c r="JMM19" s="171"/>
      <c r="JMN19" s="171"/>
      <c r="JMO19" s="171"/>
      <c r="JMP19" s="171"/>
      <c r="JMQ19" s="171"/>
      <c r="JMR19" s="171"/>
      <c r="JMS19" s="171"/>
      <c r="JMT19" s="171"/>
      <c r="JMU19" s="171"/>
      <c r="JMV19" s="171"/>
      <c r="JMW19" s="171"/>
      <c r="JMX19" s="171"/>
      <c r="JMY19" s="171"/>
      <c r="JMZ19" s="171"/>
      <c r="JNA19" s="171"/>
      <c r="JNB19" s="171"/>
      <c r="JNC19" s="171"/>
      <c r="JND19" s="171"/>
      <c r="JNE19" s="171"/>
      <c r="JNF19" s="171"/>
      <c r="JNG19" s="171"/>
      <c r="JNH19" s="171"/>
      <c r="JNI19" s="171"/>
      <c r="JNJ19" s="171"/>
      <c r="JNK19" s="171"/>
      <c r="JNL19" s="171"/>
      <c r="JNM19" s="171"/>
      <c r="JNN19" s="171"/>
      <c r="JNO19" s="171"/>
      <c r="JNP19" s="171"/>
      <c r="JNQ19" s="171"/>
      <c r="JNR19" s="171"/>
      <c r="JNS19" s="171"/>
      <c r="JNT19" s="171"/>
      <c r="JNU19" s="171"/>
      <c r="JNV19" s="171"/>
      <c r="JNW19" s="171"/>
      <c r="JNX19" s="171"/>
      <c r="JNY19" s="171"/>
      <c r="JNZ19" s="171"/>
      <c r="JOA19" s="171"/>
      <c r="JOB19" s="171"/>
      <c r="JOC19" s="171"/>
      <c r="JOD19" s="171"/>
      <c r="JOE19" s="171"/>
      <c r="JOF19" s="171"/>
      <c r="JOG19" s="171"/>
      <c r="JOH19" s="171"/>
      <c r="JOI19" s="171"/>
      <c r="JOJ19" s="171"/>
      <c r="JOK19" s="171"/>
      <c r="JOL19" s="171"/>
      <c r="JOM19" s="171"/>
      <c r="JON19" s="171"/>
      <c r="JOO19" s="171"/>
      <c r="JOP19" s="171"/>
      <c r="JOQ19" s="171"/>
      <c r="JOR19" s="171"/>
      <c r="JOS19" s="171"/>
      <c r="JOT19" s="171"/>
      <c r="JOU19" s="171"/>
      <c r="JOV19" s="171"/>
      <c r="JOW19" s="171"/>
      <c r="JOX19" s="171"/>
      <c r="JOY19" s="171"/>
      <c r="JOZ19" s="171"/>
      <c r="JPA19" s="171"/>
      <c r="JPB19" s="171"/>
      <c r="JPC19" s="171"/>
      <c r="JPD19" s="171"/>
      <c r="JPE19" s="171"/>
      <c r="JPF19" s="171"/>
      <c r="JPG19" s="171"/>
      <c r="JPH19" s="171"/>
      <c r="JPI19" s="171"/>
      <c r="JPJ19" s="171"/>
      <c r="JPK19" s="171"/>
      <c r="JPL19" s="171"/>
      <c r="JPM19" s="171"/>
      <c r="JPN19" s="171"/>
      <c r="JPO19" s="171"/>
      <c r="JPP19" s="171"/>
      <c r="JPQ19" s="171"/>
      <c r="JPR19" s="171"/>
      <c r="JPS19" s="171"/>
      <c r="JPT19" s="171"/>
      <c r="JPU19" s="171"/>
      <c r="JPV19" s="171"/>
      <c r="JPW19" s="171"/>
      <c r="JPX19" s="171"/>
      <c r="JPY19" s="171"/>
      <c r="JPZ19" s="171"/>
      <c r="JQA19" s="171"/>
      <c r="JQB19" s="171"/>
      <c r="JQC19" s="171"/>
      <c r="JQD19" s="171"/>
      <c r="JQE19" s="171"/>
      <c r="JQF19" s="171"/>
      <c r="JQG19" s="171"/>
      <c r="JQH19" s="171"/>
      <c r="JQI19" s="171"/>
      <c r="JQJ19" s="171"/>
      <c r="JQK19" s="171"/>
      <c r="JQL19" s="171"/>
      <c r="JQM19" s="171"/>
      <c r="JQN19" s="171"/>
      <c r="JQO19" s="171"/>
      <c r="JQP19" s="171"/>
      <c r="JQQ19" s="171"/>
      <c r="JQR19" s="171"/>
      <c r="JQS19" s="171"/>
      <c r="JQT19" s="171"/>
      <c r="JQU19" s="171"/>
      <c r="JQV19" s="171"/>
      <c r="JQW19" s="171"/>
      <c r="JQX19" s="171"/>
      <c r="JQY19" s="171"/>
      <c r="JQZ19" s="171"/>
      <c r="JRA19" s="171"/>
      <c r="JRB19" s="171"/>
      <c r="JRC19" s="171"/>
      <c r="JRD19" s="171"/>
      <c r="JRE19" s="171"/>
      <c r="JRF19" s="171"/>
      <c r="JRG19" s="171"/>
      <c r="JRH19" s="171"/>
      <c r="JRI19" s="171"/>
      <c r="JRJ19" s="171"/>
      <c r="JRK19" s="171"/>
      <c r="JRL19" s="171"/>
      <c r="JRM19" s="171"/>
      <c r="JRN19" s="171"/>
      <c r="JRO19" s="171"/>
      <c r="JRP19" s="171"/>
      <c r="JRQ19" s="171"/>
      <c r="JRR19" s="171"/>
      <c r="JRS19" s="171"/>
      <c r="JRT19" s="171"/>
      <c r="JRU19" s="171"/>
      <c r="JRV19" s="171"/>
      <c r="JRW19" s="171"/>
      <c r="JRX19" s="171"/>
      <c r="JRY19" s="171"/>
      <c r="JRZ19" s="171"/>
      <c r="JSA19" s="171"/>
      <c r="JSB19" s="171"/>
      <c r="JSC19" s="171"/>
      <c r="JSD19" s="171"/>
      <c r="JSE19" s="171"/>
      <c r="JSF19" s="171"/>
      <c r="JSG19" s="171"/>
      <c r="JSH19" s="171"/>
      <c r="JSI19" s="171"/>
      <c r="JSJ19" s="171"/>
      <c r="JSK19" s="171"/>
      <c r="JSL19" s="171"/>
      <c r="JSM19" s="171"/>
      <c r="JSN19" s="171"/>
      <c r="JSO19" s="171"/>
      <c r="JSP19" s="171"/>
      <c r="JSQ19" s="171"/>
      <c r="JSR19" s="171"/>
      <c r="JSS19" s="171"/>
      <c r="JST19" s="171"/>
      <c r="JSU19" s="171"/>
      <c r="JSV19" s="171"/>
      <c r="JSW19" s="171"/>
      <c r="JSX19" s="171"/>
      <c r="JSY19" s="171"/>
      <c r="JSZ19" s="171"/>
      <c r="JTA19" s="171"/>
      <c r="JTB19" s="171"/>
      <c r="JTC19" s="171"/>
      <c r="JTD19" s="171"/>
      <c r="JTE19" s="171"/>
      <c r="JTF19" s="171"/>
      <c r="JTG19" s="171"/>
      <c r="JTH19" s="171"/>
      <c r="JTI19" s="171"/>
      <c r="JTJ19" s="171"/>
      <c r="JTK19" s="171"/>
      <c r="JTL19" s="171"/>
      <c r="JTM19" s="171"/>
      <c r="JTN19" s="171"/>
      <c r="JTO19" s="171"/>
      <c r="JTP19" s="171"/>
      <c r="JTQ19" s="171"/>
      <c r="JTR19" s="171"/>
      <c r="JTS19" s="171"/>
      <c r="JTT19" s="171"/>
      <c r="JTU19" s="171"/>
      <c r="JTV19" s="171"/>
      <c r="JTW19" s="171"/>
      <c r="JTX19" s="171"/>
      <c r="JTY19" s="171"/>
      <c r="JTZ19" s="171"/>
      <c r="JUA19" s="171"/>
      <c r="JUB19" s="171"/>
      <c r="JUC19" s="171"/>
      <c r="JUD19" s="171"/>
      <c r="JUE19" s="171"/>
      <c r="JUF19" s="171"/>
      <c r="JUG19" s="171"/>
      <c r="JUH19" s="171"/>
      <c r="JUI19" s="171"/>
      <c r="JUJ19" s="171"/>
      <c r="JUK19" s="171"/>
      <c r="JUL19" s="171"/>
      <c r="JUM19" s="171"/>
      <c r="JUN19" s="171"/>
      <c r="JUO19" s="171"/>
      <c r="JUP19" s="171"/>
      <c r="JUQ19" s="171"/>
      <c r="JUR19" s="171"/>
      <c r="JUS19" s="171"/>
      <c r="JUT19" s="171"/>
      <c r="JUU19" s="171"/>
      <c r="JUV19" s="171"/>
      <c r="JUW19" s="171"/>
      <c r="JUX19" s="171"/>
      <c r="JUY19" s="171"/>
      <c r="JUZ19" s="171"/>
      <c r="JVA19" s="171"/>
      <c r="JVB19" s="171"/>
      <c r="JVC19" s="171"/>
      <c r="JVD19" s="171"/>
      <c r="JVE19" s="171"/>
      <c r="JVF19" s="171"/>
      <c r="JVG19" s="171"/>
      <c r="JVH19" s="171"/>
      <c r="JVI19" s="171"/>
      <c r="JVJ19" s="171"/>
      <c r="JVK19" s="171"/>
      <c r="JVL19" s="171"/>
      <c r="JVM19" s="171"/>
      <c r="JVN19" s="171"/>
      <c r="JVO19" s="171"/>
      <c r="JVP19" s="171"/>
      <c r="JVQ19" s="171"/>
      <c r="JVR19" s="171"/>
      <c r="JVS19" s="171"/>
      <c r="JVT19" s="171"/>
      <c r="JVU19" s="171"/>
      <c r="JVV19" s="171"/>
      <c r="JVW19" s="171"/>
      <c r="JVX19" s="171"/>
      <c r="JVY19" s="171"/>
      <c r="JVZ19" s="171"/>
      <c r="JWA19" s="171"/>
      <c r="JWB19" s="171"/>
      <c r="JWC19" s="171"/>
      <c r="JWD19" s="171"/>
      <c r="JWE19" s="171"/>
      <c r="JWF19" s="171"/>
      <c r="JWG19" s="171"/>
      <c r="JWH19" s="171"/>
      <c r="JWI19" s="171"/>
      <c r="JWJ19" s="171"/>
      <c r="JWK19" s="171"/>
      <c r="JWL19" s="171"/>
      <c r="JWM19" s="171"/>
      <c r="JWN19" s="171"/>
      <c r="JWO19" s="171"/>
      <c r="JWP19" s="171"/>
      <c r="JWQ19" s="171"/>
      <c r="JWR19" s="171"/>
      <c r="JWS19" s="171"/>
      <c r="JWT19" s="171"/>
      <c r="JWU19" s="171"/>
      <c r="JWV19" s="171"/>
      <c r="JWW19" s="171"/>
      <c r="JWX19" s="171"/>
      <c r="JWY19" s="171"/>
      <c r="JWZ19" s="171"/>
      <c r="JXA19" s="171"/>
      <c r="JXB19" s="171"/>
      <c r="JXC19" s="171"/>
      <c r="JXD19" s="171"/>
      <c r="JXE19" s="171"/>
      <c r="JXF19" s="171"/>
      <c r="JXG19" s="171"/>
      <c r="JXH19" s="171"/>
      <c r="JXI19" s="171"/>
      <c r="JXJ19" s="171"/>
      <c r="JXK19" s="171"/>
      <c r="JXL19" s="171"/>
      <c r="JXM19" s="171"/>
      <c r="JXN19" s="171"/>
      <c r="JXO19" s="171"/>
      <c r="JXP19" s="171"/>
      <c r="JXQ19" s="171"/>
      <c r="JXR19" s="171"/>
      <c r="JXS19" s="171"/>
      <c r="JXT19" s="171"/>
      <c r="JXU19" s="171"/>
      <c r="JXV19" s="171"/>
      <c r="JXW19" s="171"/>
      <c r="JXX19" s="171"/>
      <c r="JXY19" s="171"/>
      <c r="JXZ19" s="171"/>
      <c r="JYA19" s="171"/>
      <c r="JYB19" s="171"/>
      <c r="JYC19" s="171"/>
      <c r="JYD19" s="171"/>
      <c r="JYE19" s="171"/>
      <c r="JYF19" s="171"/>
      <c r="JYG19" s="171"/>
      <c r="JYH19" s="171"/>
      <c r="JYI19" s="171"/>
      <c r="JYJ19" s="171"/>
      <c r="JYK19" s="171"/>
      <c r="JYL19" s="171"/>
      <c r="JYM19" s="171"/>
      <c r="JYN19" s="171"/>
      <c r="JYO19" s="171"/>
      <c r="JYP19" s="171"/>
      <c r="JYQ19" s="171"/>
      <c r="JYR19" s="171"/>
      <c r="JYS19" s="171"/>
      <c r="JYT19" s="171"/>
      <c r="JYU19" s="171"/>
      <c r="JYV19" s="171"/>
      <c r="JYW19" s="171"/>
      <c r="JYX19" s="171"/>
      <c r="JYY19" s="171"/>
      <c r="JYZ19" s="171"/>
      <c r="JZA19" s="171"/>
      <c r="JZB19" s="171"/>
      <c r="JZC19" s="171"/>
      <c r="JZD19" s="171"/>
      <c r="JZE19" s="171"/>
      <c r="JZF19" s="171"/>
      <c r="JZG19" s="171"/>
      <c r="JZH19" s="171"/>
      <c r="JZI19" s="171"/>
      <c r="JZJ19" s="171"/>
      <c r="JZK19" s="171"/>
      <c r="JZL19" s="171"/>
      <c r="JZM19" s="171"/>
      <c r="JZN19" s="171"/>
      <c r="JZO19" s="171"/>
      <c r="JZP19" s="171"/>
      <c r="JZQ19" s="171"/>
      <c r="JZR19" s="171"/>
      <c r="JZS19" s="171"/>
      <c r="JZT19" s="171"/>
      <c r="JZU19" s="171"/>
      <c r="JZV19" s="171"/>
      <c r="JZW19" s="171"/>
      <c r="JZX19" s="171"/>
      <c r="JZY19" s="171"/>
      <c r="JZZ19" s="171"/>
      <c r="KAA19" s="171"/>
      <c r="KAB19" s="171"/>
      <c r="KAC19" s="171"/>
      <c r="KAD19" s="171"/>
      <c r="KAE19" s="171"/>
      <c r="KAF19" s="171"/>
      <c r="KAG19" s="171"/>
      <c r="KAH19" s="171"/>
      <c r="KAI19" s="171"/>
      <c r="KAJ19" s="171"/>
      <c r="KAK19" s="171"/>
      <c r="KAL19" s="171"/>
      <c r="KAM19" s="171"/>
      <c r="KAN19" s="171"/>
      <c r="KAO19" s="171"/>
      <c r="KAP19" s="171"/>
      <c r="KAQ19" s="171"/>
      <c r="KAR19" s="171"/>
      <c r="KAS19" s="171"/>
      <c r="KAT19" s="171"/>
      <c r="KAU19" s="171"/>
      <c r="KAV19" s="171"/>
      <c r="KAW19" s="171"/>
      <c r="KAX19" s="171"/>
      <c r="KAY19" s="171"/>
      <c r="KAZ19" s="171"/>
      <c r="KBA19" s="171"/>
      <c r="KBB19" s="171"/>
      <c r="KBC19" s="171"/>
      <c r="KBD19" s="171"/>
      <c r="KBE19" s="171"/>
      <c r="KBF19" s="171"/>
      <c r="KBG19" s="171"/>
      <c r="KBH19" s="171"/>
      <c r="KBI19" s="171"/>
      <c r="KBJ19" s="171"/>
      <c r="KBK19" s="171"/>
      <c r="KBL19" s="171"/>
      <c r="KBM19" s="171"/>
      <c r="KBN19" s="171"/>
      <c r="KBO19" s="171"/>
      <c r="KBP19" s="171"/>
      <c r="KBQ19" s="171"/>
      <c r="KBR19" s="171"/>
      <c r="KBS19" s="171"/>
      <c r="KBT19" s="171"/>
      <c r="KBU19" s="171"/>
      <c r="KBV19" s="171"/>
      <c r="KBW19" s="171"/>
      <c r="KBX19" s="171"/>
      <c r="KBY19" s="171"/>
      <c r="KBZ19" s="171"/>
      <c r="KCA19" s="171"/>
      <c r="KCB19" s="171"/>
      <c r="KCC19" s="171"/>
      <c r="KCD19" s="171"/>
      <c r="KCE19" s="171"/>
      <c r="KCF19" s="171"/>
      <c r="KCG19" s="171"/>
      <c r="KCH19" s="171"/>
      <c r="KCI19" s="171"/>
      <c r="KCJ19" s="171"/>
      <c r="KCK19" s="171"/>
      <c r="KCL19" s="171"/>
      <c r="KCM19" s="171"/>
      <c r="KCN19" s="171"/>
      <c r="KCO19" s="171"/>
      <c r="KCP19" s="171"/>
      <c r="KCQ19" s="171"/>
      <c r="KCR19" s="171"/>
      <c r="KCS19" s="171"/>
      <c r="KCT19" s="171"/>
      <c r="KCU19" s="171"/>
      <c r="KCV19" s="171"/>
      <c r="KCW19" s="171"/>
      <c r="KCX19" s="171"/>
      <c r="KCY19" s="171"/>
      <c r="KCZ19" s="171"/>
      <c r="KDA19" s="171"/>
      <c r="KDB19" s="171"/>
      <c r="KDC19" s="171"/>
      <c r="KDD19" s="171"/>
      <c r="KDE19" s="171"/>
      <c r="KDF19" s="171"/>
      <c r="KDG19" s="171"/>
      <c r="KDH19" s="171"/>
      <c r="KDI19" s="171"/>
      <c r="KDJ19" s="171"/>
      <c r="KDK19" s="171"/>
      <c r="KDL19" s="171"/>
      <c r="KDM19" s="171"/>
      <c r="KDN19" s="171"/>
      <c r="KDO19" s="171"/>
      <c r="KDP19" s="171"/>
      <c r="KDQ19" s="171"/>
      <c r="KDR19" s="171"/>
      <c r="KDS19" s="171"/>
      <c r="KDT19" s="171"/>
      <c r="KDU19" s="171"/>
      <c r="KDV19" s="171"/>
      <c r="KDW19" s="171"/>
      <c r="KDX19" s="171"/>
      <c r="KDY19" s="171"/>
      <c r="KDZ19" s="171"/>
      <c r="KEA19" s="171"/>
      <c r="KEB19" s="171"/>
      <c r="KEC19" s="171"/>
      <c r="KED19" s="171"/>
      <c r="KEE19" s="171"/>
      <c r="KEF19" s="171"/>
      <c r="KEG19" s="171"/>
      <c r="KEH19" s="171"/>
      <c r="KEI19" s="171"/>
      <c r="KEJ19" s="171"/>
      <c r="KEK19" s="171"/>
      <c r="KEL19" s="171"/>
      <c r="KEM19" s="171"/>
      <c r="KEN19" s="171"/>
      <c r="KEO19" s="171"/>
      <c r="KEP19" s="171"/>
      <c r="KEQ19" s="171"/>
      <c r="KER19" s="171"/>
      <c r="KES19" s="171"/>
      <c r="KET19" s="171"/>
      <c r="KEU19" s="171"/>
      <c r="KEV19" s="171"/>
      <c r="KEW19" s="171"/>
      <c r="KEX19" s="171"/>
      <c r="KEY19" s="171"/>
      <c r="KEZ19" s="171"/>
      <c r="KFA19" s="171"/>
      <c r="KFB19" s="171"/>
      <c r="KFC19" s="171"/>
      <c r="KFD19" s="171"/>
      <c r="KFE19" s="171"/>
      <c r="KFF19" s="171"/>
      <c r="KFG19" s="171"/>
      <c r="KFH19" s="171"/>
      <c r="KFI19" s="171"/>
      <c r="KFJ19" s="171"/>
      <c r="KFK19" s="171"/>
      <c r="KFL19" s="171"/>
      <c r="KFM19" s="171"/>
      <c r="KFN19" s="171"/>
      <c r="KFO19" s="171"/>
      <c r="KFP19" s="171"/>
      <c r="KFQ19" s="171"/>
      <c r="KFR19" s="171"/>
      <c r="KFS19" s="171"/>
      <c r="KFT19" s="171"/>
      <c r="KFU19" s="171"/>
      <c r="KFV19" s="171"/>
      <c r="KFW19" s="171"/>
      <c r="KFX19" s="171"/>
      <c r="KFY19" s="171"/>
      <c r="KFZ19" s="171"/>
      <c r="KGA19" s="171"/>
      <c r="KGB19" s="171"/>
      <c r="KGC19" s="171"/>
      <c r="KGD19" s="171"/>
      <c r="KGE19" s="171"/>
      <c r="KGF19" s="171"/>
      <c r="KGG19" s="171"/>
      <c r="KGH19" s="171"/>
      <c r="KGI19" s="171"/>
      <c r="KGJ19" s="171"/>
      <c r="KGK19" s="171"/>
      <c r="KGL19" s="171"/>
      <c r="KGM19" s="171"/>
      <c r="KGN19" s="171"/>
      <c r="KGO19" s="171"/>
      <c r="KGP19" s="171"/>
      <c r="KGQ19" s="171"/>
      <c r="KGR19" s="171"/>
      <c r="KGS19" s="171"/>
      <c r="KGT19" s="171"/>
      <c r="KGU19" s="171"/>
      <c r="KGV19" s="171"/>
      <c r="KGW19" s="171"/>
      <c r="KGX19" s="171"/>
      <c r="KGY19" s="171"/>
      <c r="KGZ19" s="171"/>
      <c r="KHA19" s="171"/>
      <c r="KHB19" s="171"/>
      <c r="KHC19" s="171"/>
      <c r="KHD19" s="171"/>
      <c r="KHE19" s="171"/>
      <c r="KHF19" s="171"/>
      <c r="KHG19" s="171"/>
      <c r="KHH19" s="171"/>
      <c r="KHI19" s="171"/>
      <c r="KHJ19" s="171"/>
      <c r="KHK19" s="171"/>
      <c r="KHL19" s="171"/>
      <c r="KHM19" s="171"/>
      <c r="KHN19" s="171"/>
      <c r="KHO19" s="171"/>
      <c r="KHP19" s="171"/>
      <c r="KHQ19" s="171"/>
      <c r="KHR19" s="171"/>
      <c r="KHS19" s="171"/>
      <c r="KHT19" s="171"/>
      <c r="KHU19" s="171"/>
      <c r="KHV19" s="171"/>
      <c r="KHW19" s="171"/>
      <c r="KHX19" s="171"/>
      <c r="KHY19" s="171"/>
      <c r="KHZ19" s="171"/>
      <c r="KIA19" s="171"/>
      <c r="KIB19" s="171"/>
      <c r="KIC19" s="171"/>
      <c r="KID19" s="171"/>
      <c r="KIE19" s="171"/>
      <c r="KIF19" s="171"/>
      <c r="KIG19" s="171"/>
      <c r="KIH19" s="171"/>
      <c r="KII19" s="171"/>
      <c r="KIJ19" s="171"/>
      <c r="KIK19" s="171"/>
      <c r="KIL19" s="171"/>
      <c r="KIM19" s="171"/>
      <c r="KIN19" s="171"/>
      <c r="KIO19" s="171"/>
      <c r="KIP19" s="171"/>
      <c r="KIQ19" s="171"/>
      <c r="KIR19" s="171"/>
      <c r="KIS19" s="171"/>
      <c r="KIT19" s="171"/>
      <c r="KIU19" s="171"/>
      <c r="KIV19" s="171"/>
      <c r="KIW19" s="171"/>
      <c r="KIX19" s="171"/>
      <c r="KIY19" s="171"/>
      <c r="KIZ19" s="171"/>
      <c r="KJA19" s="171"/>
      <c r="KJB19" s="171"/>
      <c r="KJC19" s="171"/>
      <c r="KJD19" s="171"/>
      <c r="KJE19" s="171"/>
      <c r="KJF19" s="171"/>
      <c r="KJG19" s="171"/>
      <c r="KJH19" s="171"/>
      <c r="KJI19" s="171"/>
      <c r="KJJ19" s="171"/>
      <c r="KJK19" s="171"/>
      <c r="KJL19" s="171"/>
      <c r="KJM19" s="171"/>
      <c r="KJN19" s="171"/>
      <c r="KJO19" s="171"/>
      <c r="KJP19" s="171"/>
      <c r="KJQ19" s="171"/>
      <c r="KJR19" s="171"/>
      <c r="KJS19" s="171"/>
      <c r="KJT19" s="171"/>
      <c r="KJU19" s="171"/>
      <c r="KJV19" s="171"/>
      <c r="KJW19" s="171"/>
      <c r="KJX19" s="171"/>
      <c r="KJY19" s="171"/>
      <c r="KJZ19" s="171"/>
      <c r="KKA19" s="171"/>
      <c r="KKB19" s="171"/>
      <c r="KKC19" s="171"/>
      <c r="KKD19" s="171"/>
      <c r="KKE19" s="171"/>
      <c r="KKF19" s="171"/>
      <c r="KKG19" s="171"/>
      <c r="KKH19" s="171"/>
      <c r="KKI19" s="171"/>
      <c r="KKJ19" s="171"/>
      <c r="KKK19" s="171"/>
      <c r="KKL19" s="171"/>
      <c r="KKM19" s="171"/>
      <c r="KKN19" s="171"/>
      <c r="KKO19" s="171"/>
      <c r="KKP19" s="171"/>
      <c r="KKQ19" s="171"/>
      <c r="KKR19" s="171"/>
      <c r="KKS19" s="171"/>
      <c r="KKT19" s="171"/>
      <c r="KKU19" s="171"/>
      <c r="KKV19" s="171"/>
      <c r="KKW19" s="171"/>
      <c r="KKX19" s="171"/>
      <c r="KKY19" s="171"/>
      <c r="KKZ19" s="171"/>
      <c r="KLA19" s="171"/>
      <c r="KLB19" s="171"/>
      <c r="KLC19" s="171"/>
      <c r="KLD19" s="171"/>
      <c r="KLE19" s="171"/>
      <c r="KLF19" s="171"/>
      <c r="KLG19" s="171"/>
      <c r="KLH19" s="171"/>
      <c r="KLI19" s="171"/>
      <c r="KLJ19" s="171"/>
      <c r="KLK19" s="171"/>
      <c r="KLL19" s="171"/>
      <c r="KLM19" s="171"/>
      <c r="KLN19" s="171"/>
      <c r="KLO19" s="171"/>
      <c r="KLP19" s="171"/>
      <c r="KLQ19" s="171"/>
      <c r="KLR19" s="171"/>
      <c r="KLS19" s="171"/>
      <c r="KLT19" s="171"/>
      <c r="KLU19" s="171"/>
      <c r="KLV19" s="171"/>
      <c r="KLW19" s="171"/>
      <c r="KLX19" s="171"/>
      <c r="KLY19" s="171"/>
      <c r="KLZ19" s="171"/>
      <c r="KMA19" s="171"/>
      <c r="KMB19" s="171"/>
      <c r="KMC19" s="171"/>
      <c r="KMD19" s="171"/>
      <c r="KME19" s="171"/>
      <c r="KMF19" s="171"/>
      <c r="KMG19" s="171"/>
      <c r="KMH19" s="171"/>
      <c r="KMI19" s="171"/>
      <c r="KMJ19" s="171"/>
      <c r="KMK19" s="171"/>
      <c r="KML19" s="171"/>
      <c r="KMM19" s="171"/>
      <c r="KMN19" s="171"/>
      <c r="KMO19" s="171"/>
      <c r="KMP19" s="171"/>
      <c r="KMQ19" s="171"/>
      <c r="KMR19" s="171"/>
      <c r="KMS19" s="171"/>
      <c r="KMT19" s="171"/>
      <c r="KMU19" s="171"/>
      <c r="KMV19" s="171"/>
      <c r="KMW19" s="171"/>
      <c r="KMX19" s="171"/>
      <c r="KMY19" s="171"/>
      <c r="KMZ19" s="171"/>
      <c r="KNA19" s="171"/>
      <c r="KNB19" s="171"/>
      <c r="KNC19" s="171"/>
      <c r="KND19" s="171"/>
      <c r="KNE19" s="171"/>
      <c r="KNF19" s="171"/>
      <c r="KNG19" s="171"/>
      <c r="KNH19" s="171"/>
      <c r="KNI19" s="171"/>
      <c r="KNJ19" s="171"/>
      <c r="KNK19" s="171"/>
      <c r="KNL19" s="171"/>
      <c r="KNM19" s="171"/>
      <c r="KNN19" s="171"/>
      <c r="KNO19" s="171"/>
      <c r="KNP19" s="171"/>
      <c r="KNQ19" s="171"/>
      <c r="KNR19" s="171"/>
      <c r="KNS19" s="171"/>
      <c r="KNT19" s="171"/>
      <c r="KNU19" s="171"/>
      <c r="KNV19" s="171"/>
      <c r="KNW19" s="171"/>
      <c r="KNX19" s="171"/>
      <c r="KNY19" s="171"/>
      <c r="KNZ19" s="171"/>
      <c r="KOA19" s="171"/>
      <c r="KOB19" s="171"/>
      <c r="KOC19" s="171"/>
      <c r="KOD19" s="171"/>
      <c r="KOE19" s="171"/>
      <c r="KOF19" s="171"/>
      <c r="KOG19" s="171"/>
      <c r="KOH19" s="171"/>
      <c r="KOI19" s="171"/>
      <c r="KOJ19" s="171"/>
      <c r="KOK19" s="171"/>
      <c r="KOL19" s="171"/>
      <c r="KOM19" s="171"/>
      <c r="KON19" s="171"/>
      <c r="KOO19" s="171"/>
      <c r="KOP19" s="171"/>
      <c r="KOQ19" s="171"/>
      <c r="KOR19" s="171"/>
      <c r="KOS19" s="171"/>
      <c r="KOT19" s="171"/>
      <c r="KOU19" s="171"/>
      <c r="KOV19" s="171"/>
      <c r="KOW19" s="171"/>
      <c r="KOX19" s="171"/>
      <c r="KOY19" s="171"/>
      <c r="KOZ19" s="171"/>
      <c r="KPA19" s="171"/>
      <c r="KPB19" s="171"/>
      <c r="KPC19" s="171"/>
      <c r="KPD19" s="171"/>
      <c r="KPE19" s="171"/>
      <c r="KPF19" s="171"/>
      <c r="KPG19" s="171"/>
      <c r="KPH19" s="171"/>
      <c r="KPI19" s="171"/>
      <c r="KPJ19" s="171"/>
      <c r="KPK19" s="171"/>
      <c r="KPL19" s="171"/>
      <c r="KPM19" s="171"/>
      <c r="KPN19" s="171"/>
      <c r="KPO19" s="171"/>
      <c r="KPP19" s="171"/>
      <c r="KPQ19" s="171"/>
      <c r="KPR19" s="171"/>
      <c r="KPS19" s="171"/>
      <c r="KPT19" s="171"/>
      <c r="KPU19" s="171"/>
      <c r="KPV19" s="171"/>
      <c r="KPW19" s="171"/>
      <c r="KPX19" s="171"/>
      <c r="KPY19" s="171"/>
      <c r="KPZ19" s="171"/>
      <c r="KQA19" s="171"/>
      <c r="KQB19" s="171"/>
      <c r="KQC19" s="171"/>
      <c r="KQD19" s="171"/>
      <c r="KQE19" s="171"/>
      <c r="KQF19" s="171"/>
      <c r="KQG19" s="171"/>
      <c r="KQH19" s="171"/>
      <c r="KQI19" s="171"/>
      <c r="KQJ19" s="171"/>
      <c r="KQK19" s="171"/>
      <c r="KQL19" s="171"/>
      <c r="KQM19" s="171"/>
      <c r="KQN19" s="171"/>
      <c r="KQO19" s="171"/>
      <c r="KQP19" s="171"/>
      <c r="KQQ19" s="171"/>
      <c r="KQR19" s="171"/>
      <c r="KQS19" s="171"/>
      <c r="KQT19" s="171"/>
      <c r="KQU19" s="171"/>
      <c r="KQV19" s="171"/>
      <c r="KQW19" s="171"/>
      <c r="KQX19" s="171"/>
      <c r="KQY19" s="171"/>
      <c r="KQZ19" s="171"/>
      <c r="KRA19" s="171"/>
      <c r="KRB19" s="171"/>
      <c r="KRC19" s="171"/>
      <c r="KRD19" s="171"/>
      <c r="KRE19" s="171"/>
      <c r="KRF19" s="171"/>
      <c r="KRG19" s="171"/>
      <c r="KRH19" s="171"/>
      <c r="KRI19" s="171"/>
      <c r="KRJ19" s="171"/>
      <c r="KRK19" s="171"/>
      <c r="KRL19" s="171"/>
      <c r="KRM19" s="171"/>
      <c r="KRN19" s="171"/>
      <c r="KRO19" s="171"/>
      <c r="KRP19" s="171"/>
      <c r="KRQ19" s="171"/>
      <c r="KRR19" s="171"/>
      <c r="KRS19" s="171"/>
      <c r="KRT19" s="171"/>
      <c r="KRU19" s="171"/>
      <c r="KRV19" s="171"/>
      <c r="KRW19" s="171"/>
      <c r="KRX19" s="171"/>
      <c r="KRY19" s="171"/>
      <c r="KRZ19" s="171"/>
      <c r="KSA19" s="171"/>
      <c r="KSB19" s="171"/>
      <c r="KSC19" s="171"/>
      <c r="KSD19" s="171"/>
      <c r="KSE19" s="171"/>
      <c r="KSF19" s="171"/>
      <c r="KSG19" s="171"/>
      <c r="KSH19" s="171"/>
      <c r="KSI19" s="171"/>
      <c r="KSJ19" s="171"/>
      <c r="KSK19" s="171"/>
      <c r="KSL19" s="171"/>
      <c r="KSM19" s="171"/>
      <c r="KSN19" s="171"/>
      <c r="KSO19" s="171"/>
      <c r="KSP19" s="171"/>
      <c r="KSQ19" s="171"/>
      <c r="KSR19" s="171"/>
      <c r="KSS19" s="171"/>
      <c r="KST19" s="171"/>
      <c r="KSU19" s="171"/>
      <c r="KSV19" s="171"/>
      <c r="KSW19" s="171"/>
      <c r="KSX19" s="171"/>
      <c r="KSY19" s="171"/>
      <c r="KSZ19" s="171"/>
      <c r="KTA19" s="171"/>
      <c r="KTB19" s="171"/>
      <c r="KTC19" s="171"/>
      <c r="KTD19" s="171"/>
      <c r="KTE19" s="171"/>
      <c r="KTF19" s="171"/>
      <c r="KTG19" s="171"/>
      <c r="KTH19" s="171"/>
      <c r="KTI19" s="171"/>
      <c r="KTJ19" s="171"/>
      <c r="KTK19" s="171"/>
      <c r="KTL19" s="171"/>
      <c r="KTM19" s="171"/>
      <c r="KTN19" s="171"/>
      <c r="KTO19" s="171"/>
      <c r="KTP19" s="171"/>
      <c r="KTQ19" s="171"/>
      <c r="KTR19" s="171"/>
      <c r="KTS19" s="171"/>
      <c r="KTT19" s="171"/>
      <c r="KTU19" s="171"/>
      <c r="KTV19" s="171"/>
      <c r="KTW19" s="171"/>
      <c r="KTX19" s="171"/>
      <c r="KTY19" s="171"/>
      <c r="KTZ19" s="171"/>
      <c r="KUA19" s="171"/>
      <c r="KUB19" s="171"/>
      <c r="KUC19" s="171"/>
      <c r="KUD19" s="171"/>
      <c r="KUE19" s="171"/>
      <c r="KUF19" s="171"/>
      <c r="KUG19" s="171"/>
      <c r="KUH19" s="171"/>
      <c r="KUI19" s="171"/>
      <c r="KUJ19" s="171"/>
      <c r="KUK19" s="171"/>
      <c r="KUL19" s="171"/>
      <c r="KUM19" s="171"/>
      <c r="KUN19" s="171"/>
      <c r="KUO19" s="171"/>
      <c r="KUP19" s="171"/>
      <c r="KUQ19" s="171"/>
      <c r="KUR19" s="171"/>
      <c r="KUS19" s="171"/>
      <c r="KUT19" s="171"/>
      <c r="KUU19" s="171"/>
      <c r="KUV19" s="171"/>
      <c r="KUW19" s="171"/>
      <c r="KUX19" s="171"/>
      <c r="KUY19" s="171"/>
      <c r="KUZ19" s="171"/>
      <c r="KVA19" s="171"/>
      <c r="KVB19" s="171"/>
      <c r="KVC19" s="171"/>
      <c r="KVD19" s="171"/>
      <c r="KVE19" s="171"/>
      <c r="KVF19" s="171"/>
      <c r="KVG19" s="171"/>
      <c r="KVH19" s="171"/>
      <c r="KVI19" s="171"/>
      <c r="KVJ19" s="171"/>
      <c r="KVK19" s="171"/>
      <c r="KVL19" s="171"/>
      <c r="KVM19" s="171"/>
      <c r="KVN19" s="171"/>
      <c r="KVO19" s="171"/>
      <c r="KVP19" s="171"/>
      <c r="KVQ19" s="171"/>
      <c r="KVR19" s="171"/>
      <c r="KVS19" s="171"/>
      <c r="KVT19" s="171"/>
      <c r="KVU19" s="171"/>
      <c r="KVV19" s="171"/>
      <c r="KVW19" s="171"/>
      <c r="KVX19" s="171"/>
      <c r="KVY19" s="171"/>
      <c r="KVZ19" s="171"/>
      <c r="KWA19" s="171"/>
      <c r="KWB19" s="171"/>
      <c r="KWC19" s="171"/>
      <c r="KWD19" s="171"/>
      <c r="KWE19" s="171"/>
      <c r="KWF19" s="171"/>
      <c r="KWG19" s="171"/>
      <c r="KWH19" s="171"/>
      <c r="KWI19" s="171"/>
      <c r="KWJ19" s="171"/>
      <c r="KWK19" s="171"/>
      <c r="KWL19" s="171"/>
      <c r="KWM19" s="171"/>
      <c r="KWN19" s="171"/>
      <c r="KWO19" s="171"/>
      <c r="KWP19" s="171"/>
      <c r="KWQ19" s="171"/>
      <c r="KWR19" s="171"/>
      <c r="KWS19" s="171"/>
      <c r="KWT19" s="171"/>
      <c r="KWU19" s="171"/>
      <c r="KWV19" s="171"/>
      <c r="KWW19" s="171"/>
      <c r="KWX19" s="171"/>
      <c r="KWY19" s="171"/>
      <c r="KWZ19" s="171"/>
      <c r="KXA19" s="171"/>
      <c r="KXB19" s="171"/>
      <c r="KXC19" s="171"/>
      <c r="KXD19" s="171"/>
      <c r="KXE19" s="171"/>
      <c r="KXF19" s="171"/>
      <c r="KXG19" s="171"/>
      <c r="KXH19" s="171"/>
      <c r="KXI19" s="171"/>
      <c r="KXJ19" s="171"/>
      <c r="KXK19" s="171"/>
      <c r="KXL19" s="171"/>
      <c r="KXM19" s="171"/>
      <c r="KXN19" s="171"/>
      <c r="KXO19" s="171"/>
      <c r="KXP19" s="171"/>
      <c r="KXQ19" s="171"/>
      <c r="KXR19" s="171"/>
      <c r="KXS19" s="171"/>
      <c r="KXT19" s="171"/>
      <c r="KXU19" s="171"/>
      <c r="KXV19" s="171"/>
      <c r="KXW19" s="171"/>
      <c r="KXX19" s="171"/>
      <c r="KXY19" s="171"/>
      <c r="KXZ19" s="171"/>
      <c r="KYA19" s="171"/>
      <c r="KYB19" s="171"/>
      <c r="KYC19" s="171"/>
      <c r="KYD19" s="171"/>
      <c r="KYE19" s="171"/>
      <c r="KYF19" s="171"/>
      <c r="KYG19" s="171"/>
      <c r="KYH19" s="171"/>
      <c r="KYI19" s="171"/>
      <c r="KYJ19" s="171"/>
      <c r="KYK19" s="171"/>
      <c r="KYL19" s="171"/>
      <c r="KYM19" s="171"/>
      <c r="KYN19" s="171"/>
      <c r="KYO19" s="171"/>
      <c r="KYP19" s="171"/>
      <c r="KYQ19" s="171"/>
      <c r="KYR19" s="171"/>
      <c r="KYS19" s="171"/>
      <c r="KYT19" s="171"/>
      <c r="KYU19" s="171"/>
      <c r="KYV19" s="171"/>
      <c r="KYW19" s="171"/>
      <c r="KYX19" s="171"/>
      <c r="KYY19" s="171"/>
      <c r="KYZ19" s="171"/>
      <c r="KZA19" s="171"/>
      <c r="KZB19" s="171"/>
      <c r="KZC19" s="171"/>
      <c r="KZD19" s="171"/>
      <c r="KZE19" s="171"/>
      <c r="KZF19" s="171"/>
      <c r="KZG19" s="171"/>
      <c r="KZH19" s="171"/>
      <c r="KZI19" s="171"/>
      <c r="KZJ19" s="171"/>
      <c r="KZK19" s="171"/>
      <c r="KZL19" s="171"/>
      <c r="KZM19" s="171"/>
      <c r="KZN19" s="171"/>
      <c r="KZO19" s="171"/>
      <c r="KZP19" s="171"/>
      <c r="KZQ19" s="171"/>
      <c r="KZR19" s="171"/>
      <c r="KZS19" s="171"/>
      <c r="KZT19" s="171"/>
      <c r="KZU19" s="171"/>
      <c r="KZV19" s="171"/>
      <c r="KZW19" s="171"/>
      <c r="KZX19" s="171"/>
      <c r="KZY19" s="171"/>
      <c r="KZZ19" s="171"/>
      <c r="LAA19" s="171"/>
      <c r="LAB19" s="171"/>
      <c r="LAC19" s="171"/>
      <c r="LAD19" s="171"/>
      <c r="LAE19" s="171"/>
      <c r="LAF19" s="171"/>
      <c r="LAG19" s="171"/>
      <c r="LAH19" s="171"/>
      <c r="LAI19" s="171"/>
      <c r="LAJ19" s="171"/>
      <c r="LAK19" s="171"/>
      <c r="LAL19" s="171"/>
      <c r="LAM19" s="171"/>
      <c r="LAN19" s="171"/>
      <c r="LAO19" s="171"/>
      <c r="LAP19" s="171"/>
      <c r="LAQ19" s="171"/>
      <c r="LAR19" s="171"/>
      <c r="LAS19" s="171"/>
      <c r="LAT19" s="171"/>
      <c r="LAU19" s="171"/>
      <c r="LAV19" s="171"/>
      <c r="LAW19" s="171"/>
      <c r="LAX19" s="171"/>
      <c r="LAY19" s="171"/>
      <c r="LAZ19" s="171"/>
      <c r="LBA19" s="171"/>
      <c r="LBB19" s="171"/>
      <c r="LBC19" s="171"/>
      <c r="LBD19" s="171"/>
      <c r="LBE19" s="171"/>
      <c r="LBF19" s="171"/>
      <c r="LBG19" s="171"/>
      <c r="LBH19" s="171"/>
      <c r="LBI19" s="171"/>
      <c r="LBJ19" s="171"/>
      <c r="LBK19" s="171"/>
      <c r="LBL19" s="171"/>
      <c r="LBM19" s="171"/>
      <c r="LBN19" s="171"/>
      <c r="LBO19" s="171"/>
      <c r="LBP19" s="171"/>
      <c r="LBQ19" s="171"/>
      <c r="LBR19" s="171"/>
      <c r="LBS19" s="171"/>
      <c r="LBT19" s="171"/>
      <c r="LBU19" s="171"/>
      <c r="LBV19" s="171"/>
      <c r="LBW19" s="171"/>
      <c r="LBX19" s="171"/>
      <c r="LBY19" s="171"/>
      <c r="LBZ19" s="171"/>
      <c r="LCA19" s="171"/>
      <c r="LCB19" s="171"/>
      <c r="LCC19" s="171"/>
      <c r="LCD19" s="171"/>
      <c r="LCE19" s="171"/>
      <c r="LCF19" s="171"/>
      <c r="LCG19" s="171"/>
      <c r="LCH19" s="171"/>
      <c r="LCI19" s="171"/>
      <c r="LCJ19" s="171"/>
      <c r="LCK19" s="171"/>
      <c r="LCL19" s="171"/>
      <c r="LCM19" s="171"/>
      <c r="LCN19" s="171"/>
      <c r="LCO19" s="171"/>
      <c r="LCP19" s="171"/>
      <c r="LCQ19" s="171"/>
      <c r="LCR19" s="171"/>
      <c r="LCS19" s="171"/>
      <c r="LCT19" s="171"/>
      <c r="LCU19" s="171"/>
      <c r="LCV19" s="171"/>
      <c r="LCW19" s="171"/>
      <c r="LCX19" s="171"/>
      <c r="LCY19" s="171"/>
      <c r="LCZ19" s="171"/>
      <c r="LDA19" s="171"/>
      <c r="LDB19" s="171"/>
      <c r="LDC19" s="171"/>
      <c r="LDD19" s="171"/>
      <c r="LDE19" s="171"/>
      <c r="LDF19" s="171"/>
      <c r="LDG19" s="171"/>
      <c r="LDH19" s="171"/>
      <c r="LDI19" s="171"/>
      <c r="LDJ19" s="171"/>
      <c r="LDK19" s="171"/>
      <c r="LDL19" s="171"/>
      <c r="LDM19" s="171"/>
      <c r="LDN19" s="171"/>
      <c r="LDO19" s="171"/>
      <c r="LDP19" s="171"/>
      <c r="LDQ19" s="171"/>
      <c r="LDR19" s="171"/>
      <c r="LDS19" s="171"/>
      <c r="LDT19" s="171"/>
      <c r="LDU19" s="171"/>
      <c r="LDV19" s="171"/>
      <c r="LDW19" s="171"/>
      <c r="LDX19" s="171"/>
      <c r="LDY19" s="171"/>
      <c r="LDZ19" s="171"/>
      <c r="LEA19" s="171"/>
      <c r="LEB19" s="171"/>
      <c r="LEC19" s="171"/>
      <c r="LED19" s="171"/>
      <c r="LEE19" s="171"/>
      <c r="LEF19" s="171"/>
      <c r="LEG19" s="171"/>
      <c r="LEH19" s="171"/>
      <c r="LEI19" s="171"/>
      <c r="LEJ19" s="171"/>
      <c r="LEK19" s="171"/>
      <c r="LEL19" s="171"/>
      <c r="LEM19" s="171"/>
      <c r="LEN19" s="171"/>
      <c r="LEO19" s="171"/>
      <c r="LEP19" s="171"/>
      <c r="LEQ19" s="171"/>
      <c r="LER19" s="171"/>
      <c r="LES19" s="171"/>
      <c r="LET19" s="171"/>
      <c r="LEU19" s="171"/>
      <c r="LEV19" s="171"/>
      <c r="LEW19" s="171"/>
      <c r="LEX19" s="171"/>
      <c r="LEY19" s="171"/>
      <c r="LEZ19" s="171"/>
      <c r="LFA19" s="171"/>
      <c r="LFB19" s="171"/>
      <c r="LFC19" s="171"/>
      <c r="LFD19" s="171"/>
      <c r="LFE19" s="171"/>
      <c r="LFF19" s="171"/>
      <c r="LFG19" s="171"/>
      <c r="LFH19" s="171"/>
      <c r="LFI19" s="171"/>
      <c r="LFJ19" s="171"/>
      <c r="LFK19" s="171"/>
      <c r="LFL19" s="171"/>
      <c r="LFM19" s="171"/>
      <c r="LFN19" s="171"/>
      <c r="LFO19" s="171"/>
      <c r="LFP19" s="171"/>
      <c r="LFQ19" s="171"/>
      <c r="LFR19" s="171"/>
      <c r="LFS19" s="171"/>
      <c r="LFT19" s="171"/>
      <c r="LFU19" s="171"/>
      <c r="LFV19" s="171"/>
      <c r="LFW19" s="171"/>
      <c r="LFX19" s="171"/>
      <c r="LFY19" s="171"/>
      <c r="LFZ19" s="171"/>
      <c r="LGA19" s="171"/>
      <c r="LGB19" s="171"/>
      <c r="LGC19" s="171"/>
      <c r="LGD19" s="171"/>
      <c r="LGE19" s="171"/>
      <c r="LGF19" s="171"/>
      <c r="LGG19" s="171"/>
      <c r="LGH19" s="171"/>
      <c r="LGI19" s="171"/>
      <c r="LGJ19" s="171"/>
      <c r="LGK19" s="171"/>
      <c r="LGL19" s="171"/>
      <c r="LGM19" s="171"/>
      <c r="LGN19" s="171"/>
      <c r="LGO19" s="171"/>
      <c r="LGP19" s="171"/>
      <c r="LGQ19" s="171"/>
      <c r="LGR19" s="171"/>
      <c r="LGS19" s="171"/>
      <c r="LGT19" s="171"/>
      <c r="LGU19" s="171"/>
      <c r="LGV19" s="171"/>
      <c r="LGW19" s="171"/>
      <c r="LGX19" s="171"/>
      <c r="LGY19" s="171"/>
      <c r="LGZ19" s="171"/>
      <c r="LHA19" s="171"/>
      <c r="LHB19" s="171"/>
      <c r="LHC19" s="171"/>
      <c r="LHD19" s="171"/>
      <c r="LHE19" s="171"/>
      <c r="LHF19" s="171"/>
      <c r="LHG19" s="171"/>
      <c r="LHH19" s="171"/>
      <c r="LHI19" s="171"/>
      <c r="LHJ19" s="171"/>
      <c r="LHK19" s="171"/>
      <c r="LHL19" s="171"/>
      <c r="LHM19" s="171"/>
      <c r="LHN19" s="171"/>
      <c r="LHO19" s="171"/>
      <c r="LHP19" s="171"/>
      <c r="LHQ19" s="171"/>
      <c r="LHR19" s="171"/>
      <c r="LHS19" s="171"/>
      <c r="LHT19" s="171"/>
      <c r="LHU19" s="171"/>
      <c r="LHV19" s="171"/>
      <c r="LHW19" s="171"/>
      <c r="LHX19" s="171"/>
      <c r="LHY19" s="171"/>
      <c r="LHZ19" s="171"/>
      <c r="LIA19" s="171"/>
      <c r="LIB19" s="171"/>
      <c r="LIC19" s="171"/>
      <c r="LID19" s="171"/>
      <c r="LIE19" s="171"/>
      <c r="LIF19" s="171"/>
      <c r="LIG19" s="171"/>
      <c r="LIH19" s="171"/>
      <c r="LII19" s="171"/>
      <c r="LIJ19" s="171"/>
      <c r="LIK19" s="171"/>
      <c r="LIL19" s="171"/>
      <c r="LIM19" s="171"/>
      <c r="LIN19" s="171"/>
      <c r="LIO19" s="171"/>
      <c r="LIP19" s="171"/>
      <c r="LIQ19" s="171"/>
      <c r="LIR19" s="171"/>
      <c r="LIS19" s="171"/>
      <c r="LIT19" s="171"/>
      <c r="LIU19" s="171"/>
      <c r="LIV19" s="171"/>
      <c r="LIW19" s="171"/>
      <c r="LIX19" s="171"/>
      <c r="LIY19" s="171"/>
      <c r="LIZ19" s="171"/>
      <c r="LJA19" s="171"/>
      <c r="LJB19" s="171"/>
      <c r="LJC19" s="171"/>
      <c r="LJD19" s="171"/>
      <c r="LJE19" s="171"/>
      <c r="LJF19" s="171"/>
      <c r="LJG19" s="171"/>
      <c r="LJH19" s="171"/>
      <c r="LJI19" s="171"/>
      <c r="LJJ19" s="171"/>
      <c r="LJK19" s="171"/>
      <c r="LJL19" s="171"/>
      <c r="LJM19" s="171"/>
      <c r="LJN19" s="171"/>
      <c r="LJO19" s="171"/>
      <c r="LJP19" s="171"/>
      <c r="LJQ19" s="171"/>
      <c r="LJR19" s="171"/>
      <c r="LJS19" s="171"/>
      <c r="LJT19" s="171"/>
      <c r="LJU19" s="171"/>
      <c r="LJV19" s="171"/>
      <c r="LJW19" s="171"/>
      <c r="LJX19" s="171"/>
      <c r="LJY19" s="171"/>
      <c r="LJZ19" s="171"/>
      <c r="LKA19" s="171"/>
      <c r="LKB19" s="171"/>
      <c r="LKC19" s="171"/>
      <c r="LKD19" s="171"/>
      <c r="LKE19" s="171"/>
      <c r="LKF19" s="171"/>
      <c r="LKG19" s="171"/>
      <c r="LKH19" s="171"/>
      <c r="LKI19" s="171"/>
      <c r="LKJ19" s="171"/>
      <c r="LKK19" s="171"/>
      <c r="LKL19" s="171"/>
      <c r="LKM19" s="171"/>
      <c r="LKN19" s="171"/>
      <c r="LKO19" s="171"/>
      <c r="LKP19" s="171"/>
      <c r="LKQ19" s="171"/>
      <c r="LKR19" s="171"/>
      <c r="LKS19" s="171"/>
      <c r="LKT19" s="171"/>
      <c r="LKU19" s="171"/>
      <c r="LKV19" s="171"/>
      <c r="LKW19" s="171"/>
      <c r="LKX19" s="171"/>
      <c r="LKY19" s="171"/>
      <c r="LKZ19" s="171"/>
      <c r="LLA19" s="171"/>
      <c r="LLB19" s="171"/>
      <c r="LLC19" s="171"/>
      <c r="LLD19" s="171"/>
      <c r="LLE19" s="171"/>
      <c r="LLF19" s="171"/>
      <c r="LLG19" s="171"/>
      <c r="LLH19" s="171"/>
      <c r="LLI19" s="171"/>
      <c r="LLJ19" s="171"/>
      <c r="LLK19" s="171"/>
      <c r="LLL19" s="171"/>
      <c r="LLM19" s="171"/>
      <c r="LLN19" s="171"/>
      <c r="LLO19" s="171"/>
      <c r="LLP19" s="171"/>
      <c r="LLQ19" s="171"/>
      <c r="LLR19" s="171"/>
      <c r="LLS19" s="171"/>
      <c r="LLT19" s="171"/>
      <c r="LLU19" s="171"/>
      <c r="LLV19" s="171"/>
      <c r="LLW19" s="171"/>
      <c r="LLX19" s="171"/>
      <c r="LLY19" s="171"/>
      <c r="LLZ19" s="171"/>
      <c r="LMA19" s="171"/>
      <c r="LMB19" s="171"/>
      <c r="LMC19" s="171"/>
      <c r="LMD19" s="171"/>
      <c r="LME19" s="171"/>
      <c r="LMF19" s="171"/>
      <c r="LMG19" s="171"/>
      <c r="LMH19" s="171"/>
      <c r="LMI19" s="171"/>
      <c r="LMJ19" s="171"/>
      <c r="LMK19" s="171"/>
      <c r="LML19" s="171"/>
      <c r="LMM19" s="171"/>
      <c r="LMN19" s="171"/>
      <c r="LMO19" s="171"/>
      <c r="LMP19" s="171"/>
      <c r="LMQ19" s="171"/>
      <c r="LMR19" s="171"/>
      <c r="LMS19" s="171"/>
      <c r="LMT19" s="171"/>
      <c r="LMU19" s="171"/>
      <c r="LMV19" s="171"/>
      <c r="LMW19" s="171"/>
      <c r="LMX19" s="171"/>
      <c r="LMY19" s="171"/>
      <c r="LMZ19" s="171"/>
      <c r="LNA19" s="171"/>
      <c r="LNB19" s="171"/>
      <c r="LNC19" s="171"/>
      <c r="LND19" s="171"/>
      <c r="LNE19" s="171"/>
      <c r="LNF19" s="171"/>
      <c r="LNG19" s="171"/>
      <c r="LNH19" s="171"/>
      <c r="LNI19" s="171"/>
      <c r="LNJ19" s="171"/>
      <c r="LNK19" s="171"/>
      <c r="LNL19" s="171"/>
      <c r="LNM19" s="171"/>
      <c r="LNN19" s="171"/>
      <c r="LNO19" s="171"/>
      <c r="LNP19" s="171"/>
      <c r="LNQ19" s="171"/>
      <c r="LNR19" s="171"/>
      <c r="LNS19" s="171"/>
      <c r="LNT19" s="171"/>
      <c r="LNU19" s="171"/>
      <c r="LNV19" s="171"/>
      <c r="LNW19" s="171"/>
      <c r="LNX19" s="171"/>
      <c r="LNY19" s="171"/>
      <c r="LNZ19" s="171"/>
      <c r="LOA19" s="171"/>
      <c r="LOB19" s="171"/>
      <c r="LOC19" s="171"/>
      <c r="LOD19" s="171"/>
      <c r="LOE19" s="171"/>
      <c r="LOF19" s="171"/>
      <c r="LOG19" s="171"/>
      <c r="LOH19" s="171"/>
      <c r="LOI19" s="171"/>
      <c r="LOJ19" s="171"/>
      <c r="LOK19" s="171"/>
      <c r="LOL19" s="171"/>
      <c r="LOM19" s="171"/>
      <c r="LON19" s="171"/>
      <c r="LOO19" s="171"/>
      <c r="LOP19" s="171"/>
      <c r="LOQ19" s="171"/>
      <c r="LOR19" s="171"/>
      <c r="LOS19" s="171"/>
      <c r="LOT19" s="171"/>
      <c r="LOU19" s="171"/>
      <c r="LOV19" s="171"/>
      <c r="LOW19" s="171"/>
      <c r="LOX19" s="171"/>
      <c r="LOY19" s="171"/>
      <c r="LOZ19" s="171"/>
      <c r="LPA19" s="171"/>
      <c r="LPB19" s="171"/>
      <c r="LPC19" s="171"/>
      <c r="LPD19" s="171"/>
      <c r="LPE19" s="171"/>
      <c r="LPF19" s="171"/>
      <c r="LPG19" s="171"/>
      <c r="LPH19" s="171"/>
      <c r="LPI19" s="171"/>
      <c r="LPJ19" s="171"/>
      <c r="LPK19" s="171"/>
      <c r="LPL19" s="171"/>
      <c r="LPM19" s="171"/>
      <c r="LPN19" s="171"/>
      <c r="LPO19" s="171"/>
      <c r="LPP19" s="171"/>
      <c r="LPQ19" s="171"/>
      <c r="LPR19" s="171"/>
      <c r="LPS19" s="171"/>
      <c r="LPT19" s="171"/>
      <c r="LPU19" s="171"/>
      <c r="LPV19" s="171"/>
      <c r="LPW19" s="171"/>
      <c r="LPX19" s="171"/>
      <c r="LPY19" s="171"/>
      <c r="LPZ19" s="171"/>
      <c r="LQA19" s="171"/>
      <c r="LQB19" s="171"/>
      <c r="LQC19" s="171"/>
      <c r="LQD19" s="171"/>
      <c r="LQE19" s="171"/>
      <c r="LQF19" s="171"/>
      <c r="LQG19" s="171"/>
      <c r="LQH19" s="171"/>
      <c r="LQI19" s="171"/>
      <c r="LQJ19" s="171"/>
      <c r="LQK19" s="171"/>
      <c r="LQL19" s="171"/>
      <c r="LQM19" s="171"/>
      <c r="LQN19" s="171"/>
      <c r="LQO19" s="171"/>
      <c r="LQP19" s="171"/>
      <c r="LQQ19" s="171"/>
      <c r="LQR19" s="171"/>
      <c r="LQS19" s="171"/>
      <c r="LQT19" s="171"/>
      <c r="LQU19" s="171"/>
      <c r="LQV19" s="171"/>
      <c r="LQW19" s="171"/>
      <c r="LQX19" s="171"/>
      <c r="LQY19" s="171"/>
      <c r="LQZ19" s="171"/>
      <c r="LRA19" s="171"/>
      <c r="LRB19" s="171"/>
      <c r="LRC19" s="171"/>
      <c r="LRD19" s="171"/>
      <c r="LRE19" s="171"/>
      <c r="LRF19" s="171"/>
      <c r="LRG19" s="171"/>
      <c r="LRH19" s="171"/>
      <c r="LRI19" s="171"/>
      <c r="LRJ19" s="171"/>
      <c r="LRK19" s="171"/>
      <c r="LRL19" s="171"/>
      <c r="LRM19" s="171"/>
      <c r="LRN19" s="171"/>
      <c r="LRO19" s="171"/>
      <c r="LRP19" s="171"/>
      <c r="LRQ19" s="171"/>
      <c r="LRR19" s="171"/>
      <c r="LRS19" s="171"/>
      <c r="LRT19" s="171"/>
      <c r="LRU19" s="171"/>
      <c r="LRV19" s="171"/>
      <c r="LRW19" s="171"/>
      <c r="LRX19" s="171"/>
      <c r="LRY19" s="171"/>
      <c r="LRZ19" s="171"/>
      <c r="LSA19" s="171"/>
      <c r="LSB19" s="171"/>
      <c r="LSC19" s="171"/>
      <c r="LSD19" s="171"/>
      <c r="LSE19" s="171"/>
      <c r="LSF19" s="171"/>
      <c r="LSG19" s="171"/>
      <c r="LSH19" s="171"/>
      <c r="LSI19" s="171"/>
      <c r="LSJ19" s="171"/>
      <c r="LSK19" s="171"/>
      <c r="LSL19" s="171"/>
      <c r="LSM19" s="171"/>
      <c r="LSN19" s="171"/>
      <c r="LSO19" s="171"/>
      <c r="LSP19" s="171"/>
      <c r="LSQ19" s="171"/>
      <c r="LSR19" s="171"/>
      <c r="LSS19" s="171"/>
      <c r="LST19" s="171"/>
      <c r="LSU19" s="171"/>
      <c r="LSV19" s="171"/>
      <c r="LSW19" s="171"/>
      <c r="LSX19" s="171"/>
      <c r="LSY19" s="171"/>
      <c r="LSZ19" s="171"/>
      <c r="LTA19" s="171"/>
      <c r="LTB19" s="171"/>
      <c r="LTC19" s="171"/>
      <c r="LTD19" s="171"/>
      <c r="LTE19" s="171"/>
      <c r="LTF19" s="171"/>
      <c r="LTG19" s="171"/>
      <c r="LTH19" s="171"/>
      <c r="LTI19" s="171"/>
      <c r="LTJ19" s="171"/>
      <c r="LTK19" s="171"/>
      <c r="LTL19" s="171"/>
      <c r="LTM19" s="171"/>
      <c r="LTN19" s="171"/>
      <c r="LTO19" s="171"/>
      <c r="LTP19" s="171"/>
      <c r="LTQ19" s="171"/>
      <c r="LTR19" s="171"/>
      <c r="LTS19" s="171"/>
      <c r="LTT19" s="171"/>
      <c r="LTU19" s="171"/>
      <c r="LTV19" s="171"/>
      <c r="LTW19" s="171"/>
      <c r="LTX19" s="171"/>
      <c r="LTY19" s="171"/>
      <c r="LTZ19" s="171"/>
      <c r="LUA19" s="171"/>
      <c r="LUB19" s="171"/>
      <c r="LUC19" s="171"/>
      <c r="LUD19" s="171"/>
      <c r="LUE19" s="171"/>
      <c r="LUF19" s="171"/>
      <c r="LUG19" s="171"/>
      <c r="LUH19" s="171"/>
      <c r="LUI19" s="171"/>
      <c r="LUJ19" s="171"/>
      <c r="LUK19" s="171"/>
      <c r="LUL19" s="171"/>
      <c r="LUM19" s="171"/>
      <c r="LUN19" s="171"/>
      <c r="LUO19" s="171"/>
      <c r="LUP19" s="171"/>
      <c r="LUQ19" s="171"/>
      <c r="LUR19" s="171"/>
      <c r="LUS19" s="171"/>
      <c r="LUT19" s="171"/>
      <c r="LUU19" s="171"/>
      <c r="LUV19" s="171"/>
      <c r="LUW19" s="171"/>
      <c r="LUX19" s="171"/>
      <c r="LUY19" s="171"/>
      <c r="LUZ19" s="171"/>
      <c r="LVA19" s="171"/>
      <c r="LVB19" s="171"/>
      <c r="LVC19" s="171"/>
      <c r="LVD19" s="171"/>
      <c r="LVE19" s="171"/>
      <c r="LVF19" s="171"/>
      <c r="LVG19" s="171"/>
      <c r="LVH19" s="171"/>
      <c r="LVI19" s="171"/>
      <c r="LVJ19" s="171"/>
      <c r="LVK19" s="171"/>
      <c r="LVL19" s="171"/>
      <c r="LVM19" s="171"/>
      <c r="LVN19" s="171"/>
      <c r="LVO19" s="171"/>
      <c r="LVP19" s="171"/>
      <c r="LVQ19" s="171"/>
      <c r="LVR19" s="171"/>
      <c r="LVS19" s="171"/>
      <c r="LVT19" s="171"/>
      <c r="LVU19" s="171"/>
      <c r="LVV19" s="171"/>
      <c r="LVW19" s="171"/>
      <c r="LVX19" s="171"/>
      <c r="LVY19" s="171"/>
      <c r="LVZ19" s="171"/>
      <c r="LWA19" s="171"/>
      <c r="LWB19" s="171"/>
      <c r="LWC19" s="171"/>
      <c r="LWD19" s="171"/>
      <c r="LWE19" s="171"/>
      <c r="LWF19" s="171"/>
      <c r="LWG19" s="171"/>
      <c r="LWH19" s="171"/>
      <c r="LWI19" s="171"/>
      <c r="LWJ19" s="171"/>
      <c r="LWK19" s="171"/>
      <c r="LWL19" s="171"/>
      <c r="LWM19" s="171"/>
      <c r="LWN19" s="171"/>
      <c r="LWO19" s="171"/>
      <c r="LWP19" s="171"/>
      <c r="LWQ19" s="171"/>
      <c r="LWR19" s="171"/>
      <c r="LWS19" s="171"/>
      <c r="LWT19" s="171"/>
      <c r="LWU19" s="171"/>
      <c r="LWV19" s="171"/>
      <c r="LWW19" s="171"/>
      <c r="LWX19" s="171"/>
      <c r="LWY19" s="171"/>
      <c r="LWZ19" s="171"/>
      <c r="LXA19" s="171"/>
      <c r="LXB19" s="171"/>
      <c r="LXC19" s="171"/>
      <c r="LXD19" s="171"/>
      <c r="LXE19" s="171"/>
      <c r="LXF19" s="171"/>
      <c r="LXG19" s="171"/>
      <c r="LXH19" s="171"/>
      <c r="LXI19" s="171"/>
      <c r="LXJ19" s="171"/>
      <c r="LXK19" s="171"/>
      <c r="LXL19" s="171"/>
      <c r="LXM19" s="171"/>
      <c r="LXN19" s="171"/>
      <c r="LXO19" s="171"/>
      <c r="LXP19" s="171"/>
      <c r="LXQ19" s="171"/>
      <c r="LXR19" s="171"/>
      <c r="LXS19" s="171"/>
      <c r="LXT19" s="171"/>
      <c r="LXU19" s="171"/>
      <c r="LXV19" s="171"/>
      <c r="LXW19" s="171"/>
      <c r="LXX19" s="171"/>
      <c r="LXY19" s="171"/>
      <c r="LXZ19" s="171"/>
      <c r="LYA19" s="171"/>
      <c r="LYB19" s="171"/>
      <c r="LYC19" s="171"/>
      <c r="LYD19" s="171"/>
      <c r="LYE19" s="171"/>
      <c r="LYF19" s="171"/>
      <c r="LYG19" s="171"/>
      <c r="LYH19" s="171"/>
      <c r="LYI19" s="171"/>
      <c r="LYJ19" s="171"/>
      <c r="LYK19" s="171"/>
      <c r="LYL19" s="171"/>
      <c r="LYM19" s="171"/>
      <c r="LYN19" s="171"/>
      <c r="LYO19" s="171"/>
      <c r="LYP19" s="171"/>
      <c r="LYQ19" s="171"/>
      <c r="LYR19" s="171"/>
      <c r="LYS19" s="171"/>
      <c r="LYT19" s="171"/>
      <c r="LYU19" s="171"/>
      <c r="LYV19" s="171"/>
      <c r="LYW19" s="171"/>
      <c r="LYX19" s="171"/>
      <c r="LYY19" s="171"/>
      <c r="LYZ19" s="171"/>
      <c r="LZA19" s="171"/>
      <c r="LZB19" s="171"/>
      <c r="LZC19" s="171"/>
      <c r="LZD19" s="171"/>
      <c r="LZE19" s="171"/>
      <c r="LZF19" s="171"/>
      <c r="LZG19" s="171"/>
      <c r="LZH19" s="171"/>
      <c r="LZI19" s="171"/>
      <c r="LZJ19" s="171"/>
      <c r="LZK19" s="171"/>
      <c r="LZL19" s="171"/>
      <c r="LZM19" s="171"/>
      <c r="LZN19" s="171"/>
      <c r="LZO19" s="171"/>
      <c r="LZP19" s="171"/>
      <c r="LZQ19" s="171"/>
      <c r="LZR19" s="171"/>
      <c r="LZS19" s="171"/>
      <c r="LZT19" s="171"/>
      <c r="LZU19" s="171"/>
      <c r="LZV19" s="171"/>
      <c r="LZW19" s="171"/>
      <c r="LZX19" s="171"/>
      <c r="LZY19" s="171"/>
      <c r="LZZ19" s="171"/>
      <c r="MAA19" s="171"/>
      <c r="MAB19" s="171"/>
      <c r="MAC19" s="171"/>
      <c r="MAD19" s="171"/>
      <c r="MAE19" s="171"/>
      <c r="MAF19" s="171"/>
      <c r="MAG19" s="171"/>
      <c r="MAH19" s="171"/>
      <c r="MAI19" s="171"/>
      <c r="MAJ19" s="171"/>
      <c r="MAK19" s="171"/>
      <c r="MAL19" s="171"/>
      <c r="MAM19" s="171"/>
      <c r="MAN19" s="171"/>
      <c r="MAO19" s="171"/>
      <c r="MAP19" s="171"/>
      <c r="MAQ19" s="171"/>
      <c r="MAR19" s="171"/>
      <c r="MAS19" s="171"/>
      <c r="MAT19" s="171"/>
      <c r="MAU19" s="171"/>
      <c r="MAV19" s="171"/>
      <c r="MAW19" s="171"/>
      <c r="MAX19" s="171"/>
      <c r="MAY19" s="171"/>
      <c r="MAZ19" s="171"/>
      <c r="MBA19" s="171"/>
      <c r="MBB19" s="171"/>
      <c r="MBC19" s="171"/>
      <c r="MBD19" s="171"/>
      <c r="MBE19" s="171"/>
      <c r="MBF19" s="171"/>
      <c r="MBG19" s="171"/>
      <c r="MBH19" s="171"/>
      <c r="MBI19" s="171"/>
      <c r="MBJ19" s="171"/>
      <c r="MBK19" s="171"/>
      <c r="MBL19" s="171"/>
      <c r="MBM19" s="171"/>
      <c r="MBN19" s="171"/>
      <c r="MBO19" s="171"/>
      <c r="MBP19" s="171"/>
      <c r="MBQ19" s="171"/>
      <c r="MBR19" s="171"/>
      <c r="MBS19" s="171"/>
      <c r="MBT19" s="171"/>
      <c r="MBU19" s="171"/>
      <c r="MBV19" s="171"/>
      <c r="MBW19" s="171"/>
      <c r="MBX19" s="171"/>
      <c r="MBY19" s="171"/>
      <c r="MBZ19" s="171"/>
      <c r="MCA19" s="171"/>
      <c r="MCB19" s="171"/>
      <c r="MCC19" s="171"/>
      <c r="MCD19" s="171"/>
      <c r="MCE19" s="171"/>
      <c r="MCF19" s="171"/>
      <c r="MCG19" s="171"/>
      <c r="MCH19" s="171"/>
      <c r="MCI19" s="171"/>
      <c r="MCJ19" s="171"/>
      <c r="MCK19" s="171"/>
      <c r="MCL19" s="171"/>
      <c r="MCM19" s="171"/>
      <c r="MCN19" s="171"/>
      <c r="MCO19" s="171"/>
      <c r="MCP19" s="171"/>
      <c r="MCQ19" s="171"/>
      <c r="MCR19" s="171"/>
      <c r="MCS19" s="171"/>
      <c r="MCT19" s="171"/>
      <c r="MCU19" s="171"/>
      <c r="MCV19" s="171"/>
      <c r="MCW19" s="171"/>
      <c r="MCX19" s="171"/>
      <c r="MCY19" s="171"/>
      <c r="MCZ19" s="171"/>
      <c r="MDA19" s="171"/>
      <c r="MDB19" s="171"/>
      <c r="MDC19" s="171"/>
      <c r="MDD19" s="171"/>
      <c r="MDE19" s="171"/>
      <c r="MDF19" s="171"/>
      <c r="MDG19" s="171"/>
      <c r="MDH19" s="171"/>
      <c r="MDI19" s="171"/>
      <c r="MDJ19" s="171"/>
      <c r="MDK19" s="171"/>
      <c r="MDL19" s="171"/>
      <c r="MDM19" s="171"/>
      <c r="MDN19" s="171"/>
      <c r="MDO19" s="171"/>
      <c r="MDP19" s="171"/>
      <c r="MDQ19" s="171"/>
      <c r="MDR19" s="171"/>
      <c r="MDS19" s="171"/>
      <c r="MDT19" s="171"/>
      <c r="MDU19" s="171"/>
      <c r="MDV19" s="171"/>
      <c r="MDW19" s="171"/>
      <c r="MDX19" s="171"/>
      <c r="MDY19" s="171"/>
      <c r="MDZ19" s="171"/>
      <c r="MEA19" s="171"/>
      <c r="MEB19" s="171"/>
      <c r="MEC19" s="171"/>
      <c r="MED19" s="171"/>
      <c r="MEE19" s="171"/>
      <c r="MEF19" s="171"/>
      <c r="MEG19" s="171"/>
      <c r="MEH19" s="171"/>
      <c r="MEI19" s="171"/>
      <c r="MEJ19" s="171"/>
      <c r="MEK19" s="171"/>
      <c r="MEL19" s="171"/>
      <c r="MEM19" s="171"/>
      <c r="MEN19" s="171"/>
      <c r="MEO19" s="171"/>
      <c r="MEP19" s="171"/>
      <c r="MEQ19" s="171"/>
      <c r="MER19" s="171"/>
      <c r="MES19" s="171"/>
      <c r="MET19" s="171"/>
      <c r="MEU19" s="171"/>
      <c r="MEV19" s="171"/>
      <c r="MEW19" s="171"/>
      <c r="MEX19" s="171"/>
      <c r="MEY19" s="171"/>
      <c r="MEZ19" s="171"/>
      <c r="MFA19" s="171"/>
      <c r="MFB19" s="171"/>
      <c r="MFC19" s="171"/>
      <c r="MFD19" s="171"/>
      <c r="MFE19" s="171"/>
      <c r="MFF19" s="171"/>
      <c r="MFG19" s="171"/>
      <c r="MFH19" s="171"/>
      <c r="MFI19" s="171"/>
      <c r="MFJ19" s="171"/>
      <c r="MFK19" s="171"/>
      <c r="MFL19" s="171"/>
      <c r="MFM19" s="171"/>
      <c r="MFN19" s="171"/>
      <c r="MFO19" s="171"/>
      <c r="MFP19" s="171"/>
      <c r="MFQ19" s="171"/>
      <c r="MFR19" s="171"/>
      <c r="MFS19" s="171"/>
      <c r="MFT19" s="171"/>
      <c r="MFU19" s="171"/>
      <c r="MFV19" s="171"/>
      <c r="MFW19" s="171"/>
      <c r="MFX19" s="171"/>
      <c r="MFY19" s="171"/>
      <c r="MFZ19" s="171"/>
      <c r="MGA19" s="171"/>
      <c r="MGB19" s="171"/>
      <c r="MGC19" s="171"/>
      <c r="MGD19" s="171"/>
      <c r="MGE19" s="171"/>
      <c r="MGF19" s="171"/>
      <c r="MGG19" s="171"/>
      <c r="MGH19" s="171"/>
      <c r="MGI19" s="171"/>
      <c r="MGJ19" s="171"/>
      <c r="MGK19" s="171"/>
      <c r="MGL19" s="171"/>
      <c r="MGM19" s="171"/>
      <c r="MGN19" s="171"/>
      <c r="MGO19" s="171"/>
      <c r="MGP19" s="171"/>
      <c r="MGQ19" s="171"/>
      <c r="MGR19" s="171"/>
      <c r="MGS19" s="171"/>
      <c r="MGT19" s="171"/>
      <c r="MGU19" s="171"/>
      <c r="MGV19" s="171"/>
      <c r="MGW19" s="171"/>
      <c r="MGX19" s="171"/>
      <c r="MGY19" s="171"/>
      <c r="MGZ19" s="171"/>
      <c r="MHA19" s="171"/>
      <c r="MHB19" s="171"/>
      <c r="MHC19" s="171"/>
      <c r="MHD19" s="171"/>
      <c r="MHE19" s="171"/>
      <c r="MHF19" s="171"/>
      <c r="MHG19" s="171"/>
      <c r="MHH19" s="171"/>
      <c r="MHI19" s="171"/>
      <c r="MHJ19" s="171"/>
      <c r="MHK19" s="171"/>
      <c r="MHL19" s="171"/>
      <c r="MHM19" s="171"/>
      <c r="MHN19" s="171"/>
      <c r="MHO19" s="171"/>
      <c r="MHP19" s="171"/>
      <c r="MHQ19" s="171"/>
      <c r="MHR19" s="171"/>
      <c r="MHS19" s="171"/>
      <c r="MHT19" s="171"/>
      <c r="MHU19" s="171"/>
      <c r="MHV19" s="171"/>
      <c r="MHW19" s="171"/>
      <c r="MHX19" s="171"/>
      <c r="MHY19" s="171"/>
      <c r="MHZ19" s="171"/>
      <c r="MIA19" s="171"/>
      <c r="MIB19" s="171"/>
      <c r="MIC19" s="171"/>
      <c r="MID19" s="171"/>
      <c r="MIE19" s="171"/>
      <c r="MIF19" s="171"/>
      <c r="MIG19" s="171"/>
      <c r="MIH19" s="171"/>
      <c r="MII19" s="171"/>
      <c r="MIJ19" s="171"/>
      <c r="MIK19" s="171"/>
      <c r="MIL19" s="171"/>
      <c r="MIM19" s="171"/>
      <c r="MIN19" s="171"/>
      <c r="MIO19" s="171"/>
      <c r="MIP19" s="171"/>
      <c r="MIQ19" s="171"/>
      <c r="MIR19" s="171"/>
      <c r="MIS19" s="171"/>
      <c r="MIT19" s="171"/>
      <c r="MIU19" s="171"/>
      <c r="MIV19" s="171"/>
      <c r="MIW19" s="171"/>
      <c r="MIX19" s="171"/>
      <c r="MIY19" s="171"/>
      <c r="MIZ19" s="171"/>
      <c r="MJA19" s="171"/>
      <c r="MJB19" s="171"/>
      <c r="MJC19" s="171"/>
      <c r="MJD19" s="171"/>
      <c r="MJE19" s="171"/>
      <c r="MJF19" s="171"/>
      <c r="MJG19" s="171"/>
      <c r="MJH19" s="171"/>
      <c r="MJI19" s="171"/>
      <c r="MJJ19" s="171"/>
      <c r="MJK19" s="171"/>
      <c r="MJL19" s="171"/>
      <c r="MJM19" s="171"/>
      <c r="MJN19" s="171"/>
      <c r="MJO19" s="171"/>
      <c r="MJP19" s="171"/>
      <c r="MJQ19" s="171"/>
      <c r="MJR19" s="171"/>
      <c r="MJS19" s="171"/>
      <c r="MJT19" s="171"/>
      <c r="MJU19" s="171"/>
      <c r="MJV19" s="171"/>
      <c r="MJW19" s="171"/>
      <c r="MJX19" s="171"/>
      <c r="MJY19" s="171"/>
      <c r="MJZ19" s="171"/>
      <c r="MKA19" s="171"/>
      <c r="MKB19" s="171"/>
      <c r="MKC19" s="171"/>
      <c r="MKD19" s="171"/>
      <c r="MKE19" s="171"/>
      <c r="MKF19" s="171"/>
      <c r="MKG19" s="171"/>
      <c r="MKH19" s="171"/>
      <c r="MKI19" s="171"/>
      <c r="MKJ19" s="171"/>
      <c r="MKK19" s="171"/>
      <c r="MKL19" s="171"/>
      <c r="MKM19" s="171"/>
      <c r="MKN19" s="171"/>
      <c r="MKO19" s="171"/>
      <c r="MKP19" s="171"/>
      <c r="MKQ19" s="171"/>
      <c r="MKR19" s="171"/>
      <c r="MKS19" s="171"/>
      <c r="MKT19" s="171"/>
      <c r="MKU19" s="171"/>
      <c r="MKV19" s="171"/>
      <c r="MKW19" s="171"/>
      <c r="MKX19" s="171"/>
      <c r="MKY19" s="171"/>
      <c r="MKZ19" s="171"/>
      <c r="MLA19" s="171"/>
      <c r="MLB19" s="171"/>
      <c r="MLC19" s="171"/>
      <c r="MLD19" s="171"/>
      <c r="MLE19" s="171"/>
      <c r="MLF19" s="171"/>
      <c r="MLG19" s="171"/>
      <c r="MLH19" s="171"/>
      <c r="MLI19" s="171"/>
      <c r="MLJ19" s="171"/>
      <c r="MLK19" s="171"/>
      <c r="MLL19" s="171"/>
      <c r="MLM19" s="171"/>
      <c r="MLN19" s="171"/>
      <c r="MLO19" s="171"/>
      <c r="MLP19" s="171"/>
      <c r="MLQ19" s="171"/>
      <c r="MLR19" s="171"/>
      <c r="MLS19" s="171"/>
      <c r="MLT19" s="171"/>
      <c r="MLU19" s="171"/>
      <c r="MLV19" s="171"/>
      <c r="MLW19" s="171"/>
      <c r="MLX19" s="171"/>
      <c r="MLY19" s="171"/>
      <c r="MLZ19" s="171"/>
      <c r="MMA19" s="171"/>
      <c r="MMB19" s="171"/>
      <c r="MMC19" s="171"/>
      <c r="MMD19" s="171"/>
      <c r="MME19" s="171"/>
      <c r="MMF19" s="171"/>
      <c r="MMG19" s="171"/>
      <c r="MMH19" s="171"/>
      <c r="MMI19" s="171"/>
      <c r="MMJ19" s="171"/>
      <c r="MMK19" s="171"/>
      <c r="MML19" s="171"/>
      <c r="MMM19" s="171"/>
      <c r="MMN19" s="171"/>
      <c r="MMO19" s="171"/>
      <c r="MMP19" s="171"/>
      <c r="MMQ19" s="171"/>
      <c r="MMR19" s="171"/>
      <c r="MMS19" s="171"/>
      <c r="MMT19" s="171"/>
      <c r="MMU19" s="171"/>
      <c r="MMV19" s="171"/>
      <c r="MMW19" s="171"/>
      <c r="MMX19" s="171"/>
      <c r="MMY19" s="171"/>
      <c r="MMZ19" s="171"/>
      <c r="MNA19" s="171"/>
      <c r="MNB19" s="171"/>
      <c r="MNC19" s="171"/>
      <c r="MND19" s="171"/>
      <c r="MNE19" s="171"/>
      <c r="MNF19" s="171"/>
      <c r="MNG19" s="171"/>
      <c r="MNH19" s="171"/>
      <c r="MNI19" s="171"/>
      <c r="MNJ19" s="171"/>
      <c r="MNK19" s="171"/>
      <c r="MNL19" s="171"/>
      <c r="MNM19" s="171"/>
      <c r="MNN19" s="171"/>
      <c r="MNO19" s="171"/>
      <c r="MNP19" s="171"/>
      <c r="MNQ19" s="171"/>
      <c r="MNR19" s="171"/>
      <c r="MNS19" s="171"/>
      <c r="MNT19" s="171"/>
      <c r="MNU19" s="171"/>
      <c r="MNV19" s="171"/>
      <c r="MNW19" s="171"/>
      <c r="MNX19" s="171"/>
      <c r="MNY19" s="171"/>
      <c r="MNZ19" s="171"/>
      <c r="MOA19" s="171"/>
      <c r="MOB19" s="171"/>
      <c r="MOC19" s="171"/>
      <c r="MOD19" s="171"/>
      <c r="MOE19" s="171"/>
      <c r="MOF19" s="171"/>
      <c r="MOG19" s="171"/>
      <c r="MOH19" s="171"/>
      <c r="MOI19" s="171"/>
      <c r="MOJ19" s="171"/>
      <c r="MOK19" s="171"/>
      <c r="MOL19" s="171"/>
      <c r="MOM19" s="171"/>
      <c r="MON19" s="171"/>
      <c r="MOO19" s="171"/>
      <c r="MOP19" s="171"/>
      <c r="MOQ19" s="171"/>
      <c r="MOR19" s="171"/>
      <c r="MOS19" s="171"/>
      <c r="MOT19" s="171"/>
      <c r="MOU19" s="171"/>
      <c r="MOV19" s="171"/>
      <c r="MOW19" s="171"/>
      <c r="MOX19" s="171"/>
      <c r="MOY19" s="171"/>
      <c r="MOZ19" s="171"/>
      <c r="MPA19" s="171"/>
      <c r="MPB19" s="171"/>
      <c r="MPC19" s="171"/>
      <c r="MPD19" s="171"/>
      <c r="MPE19" s="171"/>
      <c r="MPF19" s="171"/>
      <c r="MPG19" s="171"/>
      <c r="MPH19" s="171"/>
      <c r="MPI19" s="171"/>
      <c r="MPJ19" s="171"/>
      <c r="MPK19" s="171"/>
      <c r="MPL19" s="171"/>
      <c r="MPM19" s="171"/>
      <c r="MPN19" s="171"/>
      <c r="MPO19" s="171"/>
      <c r="MPP19" s="171"/>
      <c r="MPQ19" s="171"/>
      <c r="MPR19" s="171"/>
      <c r="MPS19" s="171"/>
      <c r="MPT19" s="171"/>
      <c r="MPU19" s="171"/>
      <c r="MPV19" s="171"/>
      <c r="MPW19" s="171"/>
      <c r="MPX19" s="171"/>
      <c r="MPY19" s="171"/>
      <c r="MPZ19" s="171"/>
      <c r="MQA19" s="171"/>
      <c r="MQB19" s="171"/>
      <c r="MQC19" s="171"/>
      <c r="MQD19" s="171"/>
      <c r="MQE19" s="171"/>
      <c r="MQF19" s="171"/>
      <c r="MQG19" s="171"/>
      <c r="MQH19" s="171"/>
      <c r="MQI19" s="171"/>
      <c r="MQJ19" s="171"/>
      <c r="MQK19" s="171"/>
      <c r="MQL19" s="171"/>
      <c r="MQM19" s="171"/>
      <c r="MQN19" s="171"/>
      <c r="MQO19" s="171"/>
      <c r="MQP19" s="171"/>
      <c r="MQQ19" s="171"/>
      <c r="MQR19" s="171"/>
      <c r="MQS19" s="171"/>
      <c r="MQT19" s="171"/>
      <c r="MQU19" s="171"/>
      <c r="MQV19" s="171"/>
      <c r="MQW19" s="171"/>
      <c r="MQX19" s="171"/>
      <c r="MQY19" s="171"/>
      <c r="MQZ19" s="171"/>
      <c r="MRA19" s="171"/>
      <c r="MRB19" s="171"/>
      <c r="MRC19" s="171"/>
      <c r="MRD19" s="171"/>
      <c r="MRE19" s="171"/>
      <c r="MRF19" s="171"/>
      <c r="MRG19" s="171"/>
      <c r="MRH19" s="171"/>
      <c r="MRI19" s="171"/>
      <c r="MRJ19" s="171"/>
      <c r="MRK19" s="171"/>
      <c r="MRL19" s="171"/>
      <c r="MRM19" s="171"/>
      <c r="MRN19" s="171"/>
      <c r="MRO19" s="171"/>
      <c r="MRP19" s="171"/>
      <c r="MRQ19" s="171"/>
      <c r="MRR19" s="171"/>
      <c r="MRS19" s="171"/>
      <c r="MRT19" s="171"/>
      <c r="MRU19" s="171"/>
      <c r="MRV19" s="171"/>
      <c r="MRW19" s="171"/>
      <c r="MRX19" s="171"/>
      <c r="MRY19" s="171"/>
      <c r="MRZ19" s="171"/>
      <c r="MSA19" s="171"/>
      <c r="MSB19" s="171"/>
      <c r="MSC19" s="171"/>
      <c r="MSD19" s="171"/>
      <c r="MSE19" s="171"/>
      <c r="MSF19" s="171"/>
      <c r="MSG19" s="171"/>
      <c r="MSH19" s="171"/>
      <c r="MSI19" s="171"/>
      <c r="MSJ19" s="171"/>
      <c r="MSK19" s="171"/>
      <c r="MSL19" s="171"/>
      <c r="MSM19" s="171"/>
      <c r="MSN19" s="171"/>
      <c r="MSO19" s="171"/>
      <c r="MSP19" s="171"/>
      <c r="MSQ19" s="171"/>
      <c r="MSR19" s="171"/>
      <c r="MSS19" s="171"/>
      <c r="MST19" s="171"/>
      <c r="MSU19" s="171"/>
      <c r="MSV19" s="171"/>
      <c r="MSW19" s="171"/>
      <c r="MSX19" s="171"/>
      <c r="MSY19" s="171"/>
      <c r="MSZ19" s="171"/>
      <c r="MTA19" s="171"/>
      <c r="MTB19" s="171"/>
      <c r="MTC19" s="171"/>
      <c r="MTD19" s="171"/>
      <c r="MTE19" s="171"/>
      <c r="MTF19" s="171"/>
      <c r="MTG19" s="171"/>
      <c r="MTH19" s="171"/>
      <c r="MTI19" s="171"/>
      <c r="MTJ19" s="171"/>
      <c r="MTK19" s="171"/>
      <c r="MTL19" s="171"/>
      <c r="MTM19" s="171"/>
      <c r="MTN19" s="171"/>
      <c r="MTO19" s="171"/>
      <c r="MTP19" s="171"/>
      <c r="MTQ19" s="171"/>
      <c r="MTR19" s="171"/>
      <c r="MTS19" s="171"/>
      <c r="MTT19" s="171"/>
      <c r="MTU19" s="171"/>
      <c r="MTV19" s="171"/>
      <c r="MTW19" s="171"/>
      <c r="MTX19" s="171"/>
      <c r="MTY19" s="171"/>
      <c r="MTZ19" s="171"/>
      <c r="MUA19" s="171"/>
      <c r="MUB19" s="171"/>
      <c r="MUC19" s="171"/>
      <c r="MUD19" s="171"/>
      <c r="MUE19" s="171"/>
      <c r="MUF19" s="171"/>
      <c r="MUG19" s="171"/>
      <c r="MUH19" s="171"/>
      <c r="MUI19" s="171"/>
      <c r="MUJ19" s="171"/>
      <c r="MUK19" s="171"/>
      <c r="MUL19" s="171"/>
      <c r="MUM19" s="171"/>
      <c r="MUN19" s="171"/>
      <c r="MUO19" s="171"/>
      <c r="MUP19" s="171"/>
      <c r="MUQ19" s="171"/>
      <c r="MUR19" s="171"/>
      <c r="MUS19" s="171"/>
      <c r="MUT19" s="171"/>
      <c r="MUU19" s="171"/>
      <c r="MUV19" s="171"/>
      <c r="MUW19" s="171"/>
      <c r="MUX19" s="171"/>
      <c r="MUY19" s="171"/>
      <c r="MUZ19" s="171"/>
      <c r="MVA19" s="171"/>
      <c r="MVB19" s="171"/>
      <c r="MVC19" s="171"/>
      <c r="MVD19" s="171"/>
      <c r="MVE19" s="171"/>
      <c r="MVF19" s="171"/>
      <c r="MVG19" s="171"/>
      <c r="MVH19" s="171"/>
      <c r="MVI19" s="171"/>
      <c r="MVJ19" s="171"/>
      <c r="MVK19" s="171"/>
      <c r="MVL19" s="171"/>
      <c r="MVM19" s="171"/>
      <c r="MVN19" s="171"/>
      <c r="MVO19" s="171"/>
      <c r="MVP19" s="171"/>
      <c r="MVQ19" s="171"/>
      <c r="MVR19" s="171"/>
      <c r="MVS19" s="171"/>
      <c r="MVT19" s="171"/>
      <c r="MVU19" s="171"/>
      <c r="MVV19" s="171"/>
      <c r="MVW19" s="171"/>
      <c r="MVX19" s="171"/>
      <c r="MVY19" s="171"/>
      <c r="MVZ19" s="171"/>
      <c r="MWA19" s="171"/>
      <c r="MWB19" s="171"/>
      <c r="MWC19" s="171"/>
      <c r="MWD19" s="171"/>
      <c r="MWE19" s="171"/>
      <c r="MWF19" s="171"/>
      <c r="MWG19" s="171"/>
      <c r="MWH19" s="171"/>
      <c r="MWI19" s="171"/>
      <c r="MWJ19" s="171"/>
      <c r="MWK19" s="171"/>
      <c r="MWL19" s="171"/>
      <c r="MWM19" s="171"/>
      <c r="MWN19" s="171"/>
      <c r="MWO19" s="171"/>
      <c r="MWP19" s="171"/>
      <c r="MWQ19" s="171"/>
      <c r="MWR19" s="171"/>
      <c r="MWS19" s="171"/>
      <c r="MWT19" s="171"/>
      <c r="MWU19" s="171"/>
      <c r="MWV19" s="171"/>
      <c r="MWW19" s="171"/>
      <c r="MWX19" s="171"/>
      <c r="MWY19" s="171"/>
      <c r="MWZ19" s="171"/>
      <c r="MXA19" s="171"/>
      <c r="MXB19" s="171"/>
      <c r="MXC19" s="171"/>
      <c r="MXD19" s="171"/>
      <c r="MXE19" s="171"/>
      <c r="MXF19" s="171"/>
      <c r="MXG19" s="171"/>
      <c r="MXH19" s="171"/>
      <c r="MXI19" s="171"/>
      <c r="MXJ19" s="171"/>
      <c r="MXK19" s="171"/>
      <c r="MXL19" s="171"/>
      <c r="MXM19" s="171"/>
      <c r="MXN19" s="171"/>
      <c r="MXO19" s="171"/>
      <c r="MXP19" s="171"/>
      <c r="MXQ19" s="171"/>
      <c r="MXR19" s="171"/>
      <c r="MXS19" s="171"/>
      <c r="MXT19" s="171"/>
      <c r="MXU19" s="171"/>
      <c r="MXV19" s="171"/>
      <c r="MXW19" s="171"/>
      <c r="MXX19" s="171"/>
      <c r="MXY19" s="171"/>
      <c r="MXZ19" s="171"/>
      <c r="MYA19" s="171"/>
      <c r="MYB19" s="171"/>
      <c r="MYC19" s="171"/>
      <c r="MYD19" s="171"/>
      <c r="MYE19" s="171"/>
      <c r="MYF19" s="171"/>
      <c r="MYG19" s="171"/>
      <c r="MYH19" s="171"/>
      <c r="MYI19" s="171"/>
      <c r="MYJ19" s="171"/>
      <c r="MYK19" s="171"/>
      <c r="MYL19" s="171"/>
      <c r="MYM19" s="171"/>
      <c r="MYN19" s="171"/>
      <c r="MYO19" s="171"/>
      <c r="MYP19" s="171"/>
      <c r="MYQ19" s="171"/>
      <c r="MYR19" s="171"/>
      <c r="MYS19" s="171"/>
      <c r="MYT19" s="171"/>
      <c r="MYU19" s="171"/>
      <c r="MYV19" s="171"/>
      <c r="MYW19" s="171"/>
      <c r="MYX19" s="171"/>
      <c r="MYY19" s="171"/>
      <c r="MYZ19" s="171"/>
      <c r="MZA19" s="171"/>
      <c r="MZB19" s="171"/>
      <c r="MZC19" s="171"/>
      <c r="MZD19" s="171"/>
      <c r="MZE19" s="171"/>
      <c r="MZF19" s="171"/>
      <c r="MZG19" s="171"/>
      <c r="MZH19" s="171"/>
      <c r="MZI19" s="171"/>
      <c r="MZJ19" s="171"/>
      <c r="MZK19" s="171"/>
      <c r="MZL19" s="171"/>
      <c r="MZM19" s="171"/>
      <c r="MZN19" s="171"/>
      <c r="MZO19" s="171"/>
      <c r="MZP19" s="171"/>
      <c r="MZQ19" s="171"/>
      <c r="MZR19" s="171"/>
      <c r="MZS19" s="171"/>
      <c r="MZT19" s="171"/>
      <c r="MZU19" s="171"/>
      <c r="MZV19" s="171"/>
      <c r="MZW19" s="171"/>
      <c r="MZX19" s="171"/>
      <c r="MZY19" s="171"/>
      <c r="MZZ19" s="171"/>
      <c r="NAA19" s="171"/>
      <c r="NAB19" s="171"/>
      <c r="NAC19" s="171"/>
      <c r="NAD19" s="171"/>
      <c r="NAE19" s="171"/>
      <c r="NAF19" s="171"/>
      <c r="NAG19" s="171"/>
      <c r="NAH19" s="171"/>
      <c r="NAI19" s="171"/>
      <c r="NAJ19" s="171"/>
      <c r="NAK19" s="171"/>
      <c r="NAL19" s="171"/>
      <c r="NAM19" s="171"/>
      <c r="NAN19" s="171"/>
      <c r="NAO19" s="171"/>
      <c r="NAP19" s="171"/>
      <c r="NAQ19" s="171"/>
      <c r="NAR19" s="171"/>
      <c r="NAS19" s="171"/>
      <c r="NAT19" s="171"/>
      <c r="NAU19" s="171"/>
      <c r="NAV19" s="171"/>
      <c r="NAW19" s="171"/>
      <c r="NAX19" s="171"/>
      <c r="NAY19" s="171"/>
      <c r="NAZ19" s="171"/>
      <c r="NBA19" s="171"/>
      <c r="NBB19" s="171"/>
      <c r="NBC19" s="171"/>
      <c r="NBD19" s="171"/>
      <c r="NBE19" s="171"/>
      <c r="NBF19" s="171"/>
      <c r="NBG19" s="171"/>
      <c r="NBH19" s="171"/>
      <c r="NBI19" s="171"/>
      <c r="NBJ19" s="171"/>
      <c r="NBK19" s="171"/>
      <c r="NBL19" s="171"/>
      <c r="NBM19" s="171"/>
      <c r="NBN19" s="171"/>
      <c r="NBO19" s="171"/>
      <c r="NBP19" s="171"/>
      <c r="NBQ19" s="171"/>
      <c r="NBR19" s="171"/>
      <c r="NBS19" s="171"/>
      <c r="NBT19" s="171"/>
      <c r="NBU19" s="171"/>
      <c r="NBV19" s="171"/>
      <c r="NBW19" s="171"/>
      <c r="NBX19" s="171"/>
      <c r="NBY19" s="171"/>
      <c r="NBZ19" s="171"/>
      <c r="NCA19" s="171"/>
      <c r="NCB19" s="171"/>
      <c r="NCC19" s="171"/>
      <c r="NCD19" s="171"/>
      <c r="NCE19" s="171"/>
      <c r="NCF19" s="171"/>
      <c r="NCG19" s="171"/>
      <c r="NCH19" s="171"/>
      <c r="NCI19" s="171"/>
      <c r="NCJ19" s="171"/>
      <c r="NCK19" s="171"/>
      <c r="NCL19" s="171"/>
      <c r="NCM19" s="171"/>
      <c r="NCN19" s="171"/>
      <c r="NCO19" s="171"/>
      <c r="NCP19" s="171"/>
      <c r="NCQ19" s="171"/>
      <c r="NCR19" s="171"/>
      <c r="NCS19" s="171"/>
      <c r="NCT19" s="171"/>
      <c r="NCU19" s="171"/>
      <c r="NCV19" s="171"/>
      <c r="NCW19" s="171"/>
      <c r="NCX19" s="171"/>
      <c r="NCY19" s="171"/>
      <c r="NCZ19" s="171"/>
      <c r="NDA19" s="171"/>
      <c r="NDB19" s="171"/>
      <c r="NDC19" s="171"/>
      <c r="NDD19" s="171"/>
      <c r="NDE19" s="171"/>
      <c r="NDF19" s="171"/>
      <c r="NDG19" s="171"/>
      <c r="NDH19" s="171"/>
      <c r="NDI19" s="171"/>
      <c r="NDJ19" s="171"/>
      <c r="NDK19" s="171"/>
      <c r="NDL19" s="171"/>
      <c r="NDM19" s="171"/>
      <c r="NDN19" s="171"/>
      <c r="NDO19" s="171"/>
      <c r="NDP19" s="171"/>
      <c r="NDQ19" s="171"/>
      <c r="NDR19" s="171"/>
      <c r="NDS19" s="171"/>
      <c r="NDT19" s="171"/>
      <c r="NDU19" s="171"/>
      <c r="NDV19" s="171"/>
      <c r="NDW19" s="171"/>
      <c r="NDX19" s="171"/>
      <c r="NDY19" s="171"/>
      <c r="NDZ19" s="171"/>
      <c r="NEA19" s="171"/>
      <c r="NEB19" s="171"/>
      <c r="NEC19" s="171"/>
      <c r="NED19" s="171"/>
      <c r="NEE19" s="171"/>
      <c r="NEF19" s="171"/>
      <c r="NEG19" s="171"/>
      <c r="NEH19" s="171"/>
      <c r="NEI19" s="171"/>
      <c r="NEJ19" s="171"/>
      <c r="NEK19" s="171"/>
      <c r="NEL19" s="171"/>
      <c r="NEM19" s="171"/>
      <c r="NEN19" s="171"/>
      <c r="NEO19" s="171"/>
      <c r="NEP19" s="171"/>
      <c r="NEQ19" s="171"/>
      <c r="NER19" s="171"/>
      <c r="NES19" s="171"/>
      <c r="NET19" s="171"/>
      <c r="NEU19" s="171"/>
      <c r="NEV19" s="171"/>
      <c r="NEW19" s="171"/>
      <c r="NEX19" s="171"/>
      <c r="NEY19" s="171"/>
      <c r="NEZ19" s="171"/>
      <c r="NFA19" s="171"/>
      <c r="NFB19" s="171"/>
      <c r="NFC19" s="171"/>
      <c r="NFD19" s="171"/>
      <c r="NFE19" s="171"/>
      <c r="NFF19" s="171"/>
      <c r="NFG19" s="171"/>
      <c r="NFH19" s="171"/>
      <c r="NFI19" s="171"/>
      <c r="NFJ19" s="171"/>
      <c r="NFK19" s="171"/>
      <c r="NFL19" s="171"/>
      <c r="NFM19" s="171"/>
      <c r="NFN19" s="171"/>
      <c r="NFO19" s="171"/>
      <c r="NFP19" s="171"/>
      <c r="NFQ19" s="171"/>
      <c r="NFR19" s="171"/>
      <c r="NFS19" s="171"/>
      <c r="NFT19" s="171"/>
      <c r="NFU19" s="171"/>
      <c r="NFV19" s="171"/>
      <c r="NFW19" s="171"/>
      <c r="NFX19" s="171"/>
      <c r="NFY19" s="171"/>
      <c r="NFZ19" s="171"/>
      <c r="NGA19" s="171"/>
      <c r="NGB19" s="171"/>
      <c r="NGC19" s="171"/>
      <c r="NGD19" s="171"/>
      <c r="NGE19" s="171"/>
      <c r="NGF19" s="171"/>
      <c r="NGG19" s="171"/>
      <c r="NGH19" s="171"/>
      <c r="NGI19" s="171"/>
      <c r="NGJ19" s="171"/>
      <c r="NGK19" s="171"/>
      <c r="NGL19" s="171"/>
      <c r="NGM19" s="171"/>
      <c r="NGN19" s="171"/>
      <c r="NGO19" s="171"/>
      <c r="NGP19" s="171"/>
      <c r="NGQ19" s="171"/>
      <c r="NGR19" s="171"/>
      <c r="NGS19" s="171"/>
      <c r="NGT19" s="171"/>
      <c r="NGU19" s="171"/>
      <c r="NGV19" s="171"/>
      <c r="NGW19" s="171"/>
      <c r="NGX19" s="171"/>
      <c r="NGY19" s="171"/>
      <c r="NGZ19" s="171"/>
      <c r="NHA19" s="171"/>
      <c r="NHB19" s="171"/>
      <c r="NHC19" s="171"/>
      <c r="NHD19" s="171"/>
      <c r="NHE19" s="171"/>
      <c r="NHF19" s="171"/>
      <c r="NHG19" s="171"/>
      <c r="NHH19" s="171"/>
      <c r="NHI19" s="171"/>
      <c r="NHJ19" s="171"/>
      <c r="NHK19" s="171"/>
      <c r="NHL19" s="171"/>
      <c r="NHM19" s="171"/>
      <c r="NHN19" s="171"/>
      <c r="NHO19" s="171"/>
      <c r="NHP19" s="171"/>
      <c r="NHQ19" s="171"/>
      <c r="NHR19" s="171"/>
      <c r="NHS19" s="171"/>
      <c r="NHT19" s="171"/>
      <c r="NHU19" s="171"/>
      <c r="NHV19" s="171"/>
      <c r="NHW19" s="171"/>
      <c r="NHX19" s="171"/>
      <c r="NHY19" s="171"/>
      <c r="NHZ19" s="171"/>
      <c r="NIA19" s="171"/>
      <c r="NIB19" s="171"/>
      <c r="NIC19" s="171"/>
      <c r="NID19" s="171"/>
      <c r="NIE19" s="171"/>
      <c r="NIF19" s="171"/>
      <c r="NIG19" s="171"/>
      <c r="NIH19" s="171"/>
      <c r="NII19" s="171"/>
      <c r="NIJ19" s="171"/>
      <c r="NIK19" s="171"/>
      <c r="NIL19" s="171"/>
      <c r="NIM19" s="171"/>
      <c r="NIN19" s="171"/>
      <c r="NIO19" s="171"/>
      <c r="NIP19" s="171"/>
      <c r="NIQ19" s="171"/>
      <c r="NIR19" s="171"/>
      <c r="NIS19" s="171"/>
      <c r="NIT19" s="171"/>
      <c r="NIU19" s="171"/>
      <c r="NIV19" s="171"/>
      <c r="NIW19" s="171"/>
      <c r="NIX19" s="171"/>
      <c r="NIY19" s="171"/>
      <c r="NIZ19" s="171"/>
      <c r="NJA19" s="171"/>
      <c r="NJB19" s="171"/>
      <c r="NJC19" s="171"/>
      <c r="NJD19" s="171"/>
      <c r="NJE19" s="171"/>
      <c r="NJF19" s="171"/>
      <c r="NJG19" s="171"/>
      <c r="NJH19" s="171"/>
      <c r="NJI19" s="171"/>
      <c r="NJJ19" s="171"/>
      <c r="NJK19" s="171"/>
      <c r="NJL19" s="171"/>
      <c r="NJM19" s="171"/>
      <c r="NJN19" s="171"/>
      <c r="NJO19" s="171"/>
      <c r="NJP19" s="171"/>
      <c r="NJQ19" s="171"/>
      <c r="NJR19" s="171"/>
      <c r="NJS19" s="171"/>
      <c r="NJT19" s="171"/>
      <c r="NJU19" s="171"/>
      <c r="NJV19" s="171"/>
      <c r="NJW19" s="171"/>
      <c r="NJX19" s="171"/>
      <c r="NJY19" s="171"/>
      <c r="NJZ19" s="171"/>
      <c r="NKA19" s="171"/>
      <c r="NKB19" s="171"/>
      <c r="NKC19" s="171"/>
      <c r="NKD19" s="171"/>
      <c r="NKE19" s="171"/>
      <c r="NKF19" s="171"/>
      <c r="NKG19" s="171"/>
      <c r="NKH19" s="171"/>
      <c r="NKI19" s="171"/>
      <c r="NKJ19" s="171"/>
      <c r="NKK19" s="171"/>
      <c r="NKL19" s="171"/>
      <c r="NKM19" s="171"/>
      <c r="NKN19" s="171"/>
      <c r="NKO19" s="171"/>
      <c r="NKP19" s="171"/>
      <c r="NKQ19" s="171"/>
      <c r="NKR19" s="171"/>
      <c r="NKS19" s="171"/>
      <c r="NKT19" s="171"/>
      <c r="NKU19" s="171"/>
      <c r="NKV19" s="171"/>
      <c r="NKW19" s="171"/>
      <c r="NKX19" s="171"/>
      <c r="NKY19" s="171"/>
      <c r="NKZ19" s="171"/>
      <c r="NLA19" s="171"/>
      <c r="NLB19" s="171"/>
      <c r="NLC19" s="171"/>
      <c r="NLD19" s="171"/>
      <c r="NLE19" s="171"/>
      <c r="NLF19" s="171"/>
      <c r="NLG19" s="171"/>
      <c r="NLH19" s="171"/>
      <c r="NLI19" s="171"/>
      <c r="NLJ19" s="171"/>
      <c r="NLK19" s="171"/>
      <c r="NLL19" s="171"/>
      <c r="NLM19" s="171"/>
      <c r="NLN19" s="171"/>
      <c r="NLO19" s="171"/>
      <c r="NLP19" s="171"/>
      <c r="NLQ19" s="171"/>
      <c r="NLR19" s="171"/>
      <c r="NLS19" s="171"/>
      <c r="NLT19" s="171"/>
      <c r="NLU19" s="171"/>
      <c r="NLV19" s="171"/>
      <c r="NLW19" s="171"/>
      <c r="NLX19" s="171"/>
      <c r="NLY19" s="171"/>
      <c r="NLZ19" s="171"/>
      <c r="NMA19" s="171"/>
      <c r="NMB19" s="171"/>
      <c r="NMC19" s="171"/>
      <c r="NMD19" s="171"/>
      <c r="NME19" s="171"/>
      <c r="NMF19" s="171"/>
      <c r="NMG19" s="171"/>
      <c r="NMH19" s="171"/>
      <c r="NMI19" s="171"/>
      <c r="NMJ19" s="171"/>
      <c r="NMK19" s="171"/>
      <c r="NML19" s="171"/>
      <c r="NMM19" s="171"/>
      <c r="NMN19" s="171"/>
      <c r="NMO19" s="171"/>
      <c r="NMP19" s="171"/>
      <c r="NMQ19" s="171"/>
      <c r="NMR19" s="171"/>
      <c r="NMS19" s="171"/>
      <c r="NMT19" s="171"/>
      <c r="NMU19" s="171"/>
      <c r="NMV19" s="171"/>
      <c r="NMW19" s="171"/>
      <c r="NMX19" s="171"/>
      <c r="NMY19" s="171"/>
      <c r="NMZ19" s="171"/>
      <c r="NNA19" s="171"/>
      <c r="NNB19" s="171"/>
      <c r="NNC19" s="171"/>
      <c r="NND19" s="171"/>
      <c r="NNE19" s="171"/>
      <c r="NNF19" s="171"/>
      <c r="NNG19" s="171"/>
      <c r="NNH19" s="171"/>
      <c r="NNI19" s="171"/>
      <c r="NNJ19" s="171"/>
      <c r="NNK19" s="171"/>
      <c r="NNL19" s="171"/>
      <c r="NNM19" s="171"/>
      <c r="NNN19" s="171"/>
      <c r="NNO19" s="171"/>
      <c r="NNP19" s="171"/>
      <c r="NNQ19" s="171"/>
      <c r="NNR19" s="171"/>
      <c r="NNS19" s="171"/>
      <c r="NNT19" s="171"/>
      <c r="NNU19" s="171"/>
      <c r="NNV19" s="171"/>
      <c r="NNW19" s="171"/>
      <c r="NNX19" s="171"/>
      <c r="NNY19" s="171"/>
      <c r="NNZ19" s="171"/>
      <c r="NOA19" s="171"/>
      <c r="NOB19" s="171"/>
      <c r="NOC19" s="171"/>
      <c r="NOD19" s="171"/>
      <c r="NOE19" s="171"/>
      <c r="NOF19" s="171"/>
      <c r="NOG19" s="171"/>
      <c r="NOH19" s="171"/>
      <c r="NOI19" s="171"/>
      <c r="NOJ19" s="171"/>
      <c r="NOK19" s="171"/>
      <c r="NOL19" s="171"/>
      <c r="NOM19" s="171"/>
      <c r="NON19" s="171"/>
      <c r="NOO19" s="171"/>
      <c r="NOP19" s="171"/>
      <c r="NOQ19" s="171"/>
      <c r="NOR19" s="171"/>
      <c r="NOS19" s="171"/>
      <c r="NOT19" s="171"/>
      <c r="NOU19" s="171"/>
      <c r="NOV19" s="171"/>
      <c r="NOW19" s="171"/>
      <c r="NOX19" s="171"/>
      <c r="NOY19" s="171"/>
      <c r="NOZ19" s="171"/>
      <c r="NPA19" s="171"/>
      <c r="NPB19" s="171"/>
      <c r="NPC19" s="171"/>
      <c r="NPD19" s="171"/>
      <c r="NPE19" s="171"/>
      <c r="NPF19" s="171"/>
      <c r="NPG19" s="171"/>
      <c r="NPH19" s="171"/>
      <c r="NPI19" s="171"/>
      <c r="NPJ19" s="171"/>
      <c r="NPK19" s="171"/>
      <c r="NPL19" s="171"/>
      <c r="NPM19" s="171"/>
      <c r="NPN19" s="171"/>
      <c r="NPO19" s="171"/>
      <c r="NPP19" s="171"/>
      <c r="NPQ19" s="171"/>
      <c r="NPR19" s="171"/>
      <c r="NPS19" s="171"/>
      <c r="NPT19" s="171"/>
      <c r="NPU19" s="171"/>
      <c r="NPV19" s="171"/>
      <c r="NPW19" s="171"/>
      <c r="NPX19" s="171"/>
      <c r="NPY19" s="171"/>
      <c r="NPZ19" s="171"/>
      <c r="NQA19" s="171"/>
      <c r="NQB19" s="171"/>
      <c r="NQC19" s="171"/>
      <c r="NQD19" s="171"/>
      <c r="NQE19" s="171"/>
      <c r="NQF19" s="171"/>
      <c r="NQG19" s="171"/>
      <c r="NQH19" s="171"/>
      <c r="NQI19" s="171"/>
      <c r="NQJ19" s="171"/>
      <c r="NQK19" s="171"/>
      <c r="NQL19" s="171"/>
      <c r="NQM19" s="171"/>
      <c r="NQN19" s="171"/>
      <c r="NQO19" s="171"/>
      <c r="NQP19" s="171"/>
      <c r="NQQ19" s="171"/>
      <c r="NQR19" s="171"/>
      <c r="NQS19" s="171"/>
      <c r="NQT19" s="171"/>
      <c r="NQU19" s="171"/>
      <c r="NQV19" s="171"/>
      <c r="NQW19" s="171"/>
      <c r="NQX19" s="171"/>
      <c r="NQY19" s="171"/>
      <c r="NQZ19" s="171"/>
      <c r="NRA19" s="171"/>
      <c r="NRB19" s="171"/>
      <c r="NRC19" s="171"/>
      <c r="NRD19" s="171"/>
      <c r="NRE19" s="171"/>
      <c r="NRF19" s="171"/>
      <c r="NRG19" s="171"/>
      <c r="NRH19" s="171"/>
      <c r="NRI19" s="171"/>
      <c r="NRJ19" s="171"/>
      <c r="NRK19" s="171"/>
      <c r="NRL19" s="171"/>
      <c r="NRM19" s="171"/>
      <c r="NRN19" s="171"/>
      <c r="NRO19" s="171"/>
      <c r="NRP19" s="171"/>
      <c r="NRQ19" s="171"/>
      <c r="NRR19" s="171"/>
      <c r="NRS19" s="171"/>
      <c r="NRT19" s="171"/>
      <c r="NRU19" s="171"/>
      <c r="NRV19" s="171"/>
      <c r="NRW19" s="171"/>
      <c r="NRX19" s="171"/>
      <c r="NRY19" s="171"/>
      <c r="NRZ19" s="171"/>
      <c r="NSA19" s="171"/>
      <c r="NSB19" s="171"/>
      <c r="NSC19" s="171"/>
      <c r="NSD19" s="171"/>
      <c r="NSE19" s="171"/>
      <c r="NSF19" s="171"/>
      <c r="NSG19" s="171"/>
      <c r="NSH19" s="171"/>
      <c r="NSI19" s="171"/>
      <c r="NSJ19" s="171"/>
      <c r="NSK19" s="171"/>
      <c r="NSL19" s="171"/>
      <c r="NSM19" s="171"/>
      <c r="NSN19" s="171"/>
      <c r="NSO19" s="171"/>
      <c r="NSP19" s="171"/>
      <c r="NSQ19" s="171"/>
      <c r="NSR19" s="171"/>
      <c r="NSS19" s="171"/>
      <c r="NST19" s="171"/>
      <c r="NSU19" s="171"/>
      <c r="NSV19" s="171"/>
      <c r="NSW19" s="171"/>
      <c r="NSX19" s="171"/>
      <c r="NSY19" s="171"/>
      <c r="NSZ19" s="171"/>
      <c r="NTA19" s="171"/>
      <c r="NTB19" s="171"/>
      <c r="NTC19" s="171"/>
      <c r="NTD19" s="171"/>
      <c r="NTE19" s="171"/>
      <c r="NTF19" s="171"/>
      <c r="NTG19" s="171"/>
      <c r="NTH19" s="171"/>
      <c r="NTI19" s="171"/>
      <c r="NTJ19" s="171"/>
      <c r="NTK19" s="171"/>
      <c r="NTL19" s="171"/>
      <c r="NTM19" s="171"/>
      <c r="NTN19" s="171"/>
      <c r="NTO19" s="171"/>
      <c r="NTP19" s="171"/>
      <c r="NTQ19" s="171"/>
      <c r="NTR19" s="171"/>
      <c r="NTS19" s="171"/>
      <c r="NTT19" s="171"/>
      <c r="NTU19" s="171"/>
      <c r="NTV19" s="171"/>
      <c r="NTW19" s="171"/>
      <c r="NTX19" s="171"/>
      <c r="NTY19" s="171"/>
      <c r="NTZ19" s="171"/>
      <c r="NUA19" s="171"/>
      <c r="NUB19" s="171"/>
      <c r="NUC19" s="171"/>
      <c r="NUD19" s="171"/>
      <c r="NUE19" s="171"/>
      <c r="NUF19" s="171"/>
      <c r="NUG19" s="171"/>
      <c r="NUH19" s="171"/>
      <c r="NUI19" s="171"/>
      <c r="NUJ19" s="171"/>
      <c r="NUK19" s="171"/>
      <c r="NUL19" s="171"/>
      <c r="NUM19" s="171"/>
      <c r="NUN19" s="171"/>
      <c r="NUO19" s="171"/>
      <c r="NUP19" s="171"/>
      <c r="NUQ19" s="171"/>
      <c r="NUR19" s="171"/>
      <c r="NUS19" s="171"/>
      <c r="NUT19" s="171"/>
      <c r="NUU19" s="171"/>
      <c r="NUV19" s="171"/>
      <c r="NUW19" s="171"/>
      <c r="NUX19" s="171"/>
      <c r="NUY19" s="171"/>
      <c r="NUZ19" s="171"/>
      <c r="NVA19" s="171"/>
      <c r="NVB19" s="171"/>
      <c r="NVC19" s="171"/>
      <c r="NVD19" s="171"/>
      <c r="NVE19" s="171"/>
      <c r="NVF19" s="171"/>
      <c r="NVG19" s="171"/>
      <c r="NVH19" s="171"/>
      <c r="NVI19" s="171"/>
      <c r="NVJ19" s="171"/>
      <c r="NVK19" s="171"/>
      <c r="NVL19" s="171"/>
      <c r="NVM19" s="171"/>
      <c r="NVN19" s="171"/>
      <c r="NVO19" s="171"/>
      <c r="NVP19" s="171"/>
      <c r="NVQ19" s="171"/>
      <c r="NVR19" s="171"/>
      <c r="NVS19" s="171"/>
      <c r="NVT19" s="171"/>
      <c r="NVU19" s="171"/>
      <c r="NVV19" s="171"/>
      <c r="NVW19" s="171"/>
      <c r="NVX19" s="171"/>
      <c r="NVY19" s="171"/>
      <c r="NVZ19" s="171"/>
      <c r="NWA19" s="171"/>
      <c r="NWB19" s="171"/>
      <c r="NWC19" s="171"/>
      <c r="NWD19" s="171"/>
      <c r="NWE19" s="171"/>
      <c r="NWF19" s="171"/>
      <c r="NWG19" s="171"/>
      <c r="NWH19" s="171"/>
      <c r="NWI19" s="171"/>
      <c r="NWJ19" s="171"/>
      <c r="NWK19" s="171"/>
      <c r="NWL19" s="171"/>
      <c r="NWM19" s="171"/>
      <c r="NWN19" s="171"/>
      <c r="NWO19" s="171"/>
      <c r="NWP19" s="171"/>
      <c r="NWQ19" s="171"/>
      <c r="NWR19" s="171"/>
      <c r="NWS19" s="171"/>
      <c r="NWT19" s="171"/>
      <c r="NWU19" s="171"/>
      <c r="NWV19" s="171"/>
      <c r="NWW19" s="171"/>
      <c r="NWX19" s="171"/>
      <c r="NWY19" s="171"/>
      <c r="NWZ19" s="171"/>
      <c r="NXA19" s="171"/>
      <c r="NXB19" s="171"/>
      <c r="NXC19" s="171"/>
      <c r="NXD19" s="171"/>
      <c r="NXE19" s="171"/>
      <c r="NXF19" s="171"/>
      <c r="NXG19" s="171"/>
      <c r="NXH19" s="171"/>
      <c r="NXI19" s="171"/>
      <c r="NXJ19" s="171"/>
      <c r="NXK19" s="171"/>
      <c r="NXL19" s="171"/>
      <c r="NXM19" s="171"/>
      <c r="NXN19" s="171"/>
      <c r="NXO19" s="171"/>
      <c r="NXP19" s="171"/>
      <c r="NXQ19" s="171"/>
      <c r="NXR19" s="171"/>
      <c r="NXS19" s="171"/>
      <c r="NXT19" s="171"/>
      <c r="NXU19" s="171"/>
      <c r="NXV19" s="171"/>
      <c r="NXW19" s="171"/>
      <c r="NXX19" s="171"/>
      <c r="NXY19" s="171"/>
      <c r="NXZ19" s="171"/>
      <c r="NYA19" s="171"/>
      <c r="NYB19" s="171"/>
      <c r="NYC19" s="171"/>
      <c r="NYD19" s="171"/>
      <c r="NYE19" s="171"/>
      <c r="NYF19" s="171"/>
      <c r="NYG19" s="171"/>
      <c r="NYH19" s="171"/>
      <c r="NYI19" s="171"/>
      <c r="NYJ19" s="171"/>
      <c r="NYK19" s="171"/>
      <c r="NYL19" s="171"/>
      <c r="NYM19" s="171"/>
      <c r="NYN19" s="171"/>
      <c r="NYO19" s="171"/>
      <c r="NYP19" s="171"/>
      <c r="NYQ19" s="171"/>
      <c r="NYR19" s="171"/>
      <c r="NYS19" s="171"/>
      <c r="NYT19" s="171"/>
      <c r="NYU19" s="171"/>
      <c r="NYV19" s="171"/>
      <c r="NYW19" s="171"/>
      <c r="NYX19" s="171"/>
      <c r="NYY19" s="171"/>
      <c r="NYZ19" s="171"/>
      <c r="NZA19" s="171"/>
      <c r="NZB19" s="171"/>
      <c r="NZC19" s="171"/>
      <c r="NZD19" s="171"/>
      <c r="NZE19" s="171"/>
      <c r="NZF19" s="171"/>
      <c r="NZG19" s="171"/>
      <c r="NZH19" s="171"/>
      <c r="NZI19" s="171"/>
      <c r="NZJ19" s="171"/>
      <c r="NZK19" s="171"/>
      <c r="NZL19" s="171"/>
      <c r="NZM19" s="171"/>
      <c r="NZN19" s="171"/>
      <c r="NZO19" s="171"/>
      <c r="NZP19" s="171"/>
      <c r="NZQ19" s="171"/>
      <c r="NZR19" s="171"/>
      <c r="NZS19" s="171"/>
      <c r="NZT19" s="171"/>
      <c r="NZU19" s="171"/>
      <c r="NZV19" s="171"/>
      <c r="NZW19" s="171"/>
      <c r="NZX19" s="171"/>
      <c r="NZY19" s="171"/>
      <c r="NZZ19" s="171"/>
      <c r="OAA19" s="171"/>
      <c r="OAB19" s="171"/>
      <c r="OAC19" s="171"/>
      <c r="OAD19" s="171"/>
      <c r="OAE19" s="171"/>
      <c r="OAF19" s="171"/>
      <c r="OAG19" s="171"/>
      <c r="OAH19" s="171"/>
      <c r="OAI19" s="171"/>
      <c r="OAJ19" s="171"/>
      <c r="OAK19" s="171"/>
      <c r="OAL19" s="171"/>
      <c r="OAM19" s="171"/>
      <c r="OAN19" s="171"/>
      <c r="OAO19" s="171"/>
      <c r="OAP19" s="171"/>
      <c r="OAQ19" s="171"/>
      <c r="OAR19" s="171"/>
      <c r="OAS19" s="171"/>
      <c r="OAT19" s="171"/>
      <c r="OAU19" s="171"/>
      <c r="OAV19" s="171"/>
      <c r="OAW19" s="171"/>
      <c r="OAX19" s="171"/>
      <c r="OAY19" s="171"/>
      <c r="OAZ19" s="171"/>
      <c r="OBA19" s="171"/>
      <c r="OBB19" s="171"/>
      <c r="OBC19" s="171"/>
      <c r="OBD19" s="171"/>
      <c r="OBE19" s="171"/>
      <c r="OBF19" s="171"/>
      <c r="OBG19" s="171"/>
      <c r="OBH19" s="171"/>
      <c r="OBI19" s="171"/>
      <c r="OBJ19" s="171"/>
      <c r="OBK19" s="171"/>
      <c r="OBL19" s="171"/>
      <c r="OBM19" s="171"/>
      <c r="OBN19" s="171"/>
      <c r="OBO19" s="171"/>
      <c r="OBP19" s="171"/>
      <c r="OBQ19" s="171"/>
      <c r="OBR19" s="171"/>
      <c r="OBS19" s="171"/>
      <c r="OBT19" s="171"/>
      <c r="OBU19" s="171"/>
      <c r="OBV19" s="171"/>
      <c r="OBW19" s="171"/>
      <c r="OBX19" s="171"/>
      <c r="OBY19" s="171"/>
      <c r="OBZ19" s="171"/>
      <c r="OCA19" s="171"/>
      <c r="OCB19" s="171"/>
      <c r="OCC19" s="171"/>
      <c r="OCD19" s="171"/>
      <c r="OCE19" s="171"/>
      <c r="OCF19" s="171"/>
      <c r="OCG19" s="171"/>
      <c r="OCH19" s="171"/>
      <c r="OCI19" s="171"/>
      <c r="OCJ19" s="171"/>
      <c r="OCK19" s="171"/>
      <c r="OCL19" s="171"/>
      <c r="OCM19" s="171"/>
      <c r="OCN19" s="171"/>
      <c r="OCO19" s="171"/>
      <c r="OCP19" s="171"/>
      <c r="OCQ19" s="171"/>
      <c r="OCR19" s="171"/>
      <c r="OCS19" s="171"/>
      <c r="OCT19" s="171"/>
      <c r="OCU19" s="171"/>
      <c r="OCV19" s="171"/>
      <c r="OCW19" s="171"/>
      <c r="OCX19" s="171"/>
      <c r="OCY19" s="171"/>
      <c r="OCZ19" s="171"/>
      <c r="ODA19" s="171"/>
      <c r="ODB19" s="171"/>
      <c r="ODC19" s="171"/>
      <c r="ODD19" s="171"/>
      <c r="ODE19" s="171"/>
      <c r="ODF19" s="171"/>
      <c r="ODG19" s="171"/>
      <c r="ODH19" s="171"/>
      <c r="ODI19" s="171"/>
      <c r="ODJ19" s="171"/>
      <c r="ODK19" s="171"/>
      <c r="ODL19" s="171"/>
      <c r="ODM19" s="171"/>
      <c r="ODN19" s="171"/>
      <c r="ODO19" s="171"/>
      <c r="ODP19" s="171"/>
      <c r="ODQ19" s="171"/>
      <c r="ODR19" s="171"/>
      <c r="ODS19" s="171"/>
      <c r="ODT19" s="171"/>
      <c r="ODU19" s="171"/>
      <c r="ODV19" s="171"/>
      <c r="ODW19" s="171"/>
      <c r="ODX19" s="171"/>
      <c r="ODY19" s="171"/>
      <c r="ODZ19" s="171"/>
      <c r="OEA19" s="171"/>
      <c r="OEB19" s="171"/>
      <c r="OEC19" s="171"/>
      <c r="OED19" s="171"/>
      <c r="OEE19" s="171"/>
      <c r="OEF19" s="171"/>
      <c r="OEG19" s="171"/>
      <c r="OEH19" s="171"/>
      <c r="OEI19" s="171"/>
      <c r="OEJ19" s="171"/>
      <c r="OEK19" s="171"/>
      <c r="OEL19" s="171"/>
      <c r="OEM19" s="171"/>
      <c r="OEN19" s="171"/>
      <c r="OEO19" s="171"/>
      <c r="OEP19" s="171"/>
      <c r="OEQ19" s="171"/>
      <c r="OER19" s="171"/>
      <c r="OES19" s="171"/>
      <c r="OET19" s="171"/>
      <c r="OEU19" s="171"/>
      <c r="OEV19" s="171"/>
      <c r="OEW19" s="171"/>
      <c r="OEX19" s="171"/>
      <c r="OEY19" s="171"/>
      <c r="OEZ19" s="171"/>
      <c r="OFA19" s="171"/>
      <c r="OFB19" s="171"/>
      <c r="OFC19" s="171"/>
      <c r="OFD19" s="171"/>
      <c r="OFE19" s="171"/>
      <c r="OFF19" s="171"/>
      <c r="OFG19" s="171"/>
      <c r="OFH19" s="171"/>
      <c r="OFI19" s="171"/>
      <c r="OFJ19" s="171"/>
      <c r="OFK19" s="171"/>
      <c r="OFL19" s="171"/>
      <c r="OFM19" s="171"/>
      <c r="OFN19" s="171"/>
      <c r="OFO19" s="171"/>
      <c r="OFP19" s="171"/>
      <c r="OFQ19" s="171"/>
      <c r="OFR19" s="171"/>
      <c r="OFS19" s="171"/>
      <c r="OFT19" s="171"/>
      <c r="OFU19" s="171"/>
      <c r="OFV19" s="171"/>
      <c r="OFW19" s="171"/>
      <c r="OFX19" s="171"/>
      <c r="OFY19" s="171"/>
      <c r="OFZ19" s="171"/>
      <c r="OGA19" s="171"/>
      <c r="OGB19" s="171"/>
      <c r="OGC19" s="171"/>
      <c r="OGD19" s="171"/>
      <c r="OGE19" s="171"/>
      <c r="OGF19" s="171"/>
      <c r="OGG19" s="171"/>
      <c r="OGH19" s="171"/>
      <c r="OGI19" s="171"/>
      <c r="OGJ19" s="171"/>
      <c r="OGK19" s="171"/>
      <c r="OGL19" s="171"/>
      <c r="OGM19" s="171"/>
      <c r="OGN19" s="171"/>
      <c r="OGO19" s="171"/>
      <c r="OGP19" s="171"/>
      <c r="OGQ19" s="171"/>
      <c r="OGR19" s="171"/>
      <c r="OGS19" s="171"/>
      <c r="OGT19" s="171"/>
      <c r="OGU19" s="171"/>
      <c r="OGV19" s="171"/>
      <c r="OGW19" s="171"/>
      <c r="OGX19" s="171"/>
      <c r="OGY19" s="171"/>
      <c r="OGZ19" s="171"/>
      <c r="OHA19" s="171"/>
      <c r="OHB19" s="171"/>
      <c r="OHC19" s="171"/>
      <c r="OHD19" s="171"/>
      <c r="OHE19" s="171"/>
      <c r="OHF19" s="171"/>
      <c r="OHG19" s="171"/>
      <c r="OHH19" s="171"/>
      <c r="OHI19" s="171"/>
      <c r="OHJ19" s="171"/>
      <c r="OHK19" s="171"/>
      <c r="OHL19" s="171"/>
      <c r="OHM19" s="171"/>
      <c r="OHN19" s="171"/>
      <c r="OHO19" s="171"/>
      <c r="OHP19" s="171"/>
      <c r="OHQ19" s="171"/>
      <c r="OHR19" s="171"/>
      <c r="OHS19" s="171"/>
      <c r="OHT19" s="171"/>
      <c r="OHU19" s="171"/>
      <c r="OHV19" s="171"/>
      <c r="OHW19" s="171"/>
      <c r="OHX19" s="171"/>
      <c r="OHY19" s="171"/>
      <c r="OHZ19" s="171"/>
      <c r="OIA19" s="171"/>
      <c r="OIB19" s="171"/>
      <c r="OIC19" s="171"/>
      <c r="OID19" s="171"/>
      <c r="OIE19" s="171"/>
      <c r="OIF19" s="171"/>
      <c r="OIG19" s="171"/>
      <c r="OIH19" s="171"/>
      <c r="OII19" s="171"/>
      <c r="OIJ19" s="171"/>
      <c r="OIK19" s="171"/>
      <c r="OIL19" s="171"/>
      <c r="OIM19" s="171"/>
      <c r="OIN19" s="171"/>
      <c r="OIO19" s="171"/>
      <c r="OIP19" s="171"/>
      <c r="OIQ19" s="171"/>
      <c r="OIR19" s="171"/>
      <c r="OIS19" s="171"/>
      <c r="OIT19" s="171"/>
      <c r="OIU19" s="171"/>
      <c r="OIV19" s="171"/>
      <c r="OIW19" s="171"/>
      <c r="OIX19" s="171"/>
      <c r="OIY19" s="171"/>
      <c r="OIZ19" s="171"/>
      <c r="OJA19" s="171"/>
      <c r="OJB19" s="171"/>
      <c r="OJC19" s="171"/>
      <c r="OJD19" s="171"/>
      <c r="OJE19" s="171"/>
      <c r="OJF19" s="171"/>
      <c r="OJG19" s="171"/>
      <c r="OJH19" s="171"/>
      <c r="OJI19" s="171"/>
      <c r="OJJ19" s="171"/>
      <c r="OJK19" s="171"/>
      <c r="OJL19" s="171"/>
      <c r="OJM19" s="171"/>
      <c r="OJN19" s="171"/>
      <c r="OJO19" s="171"/>
      <c r="OJP19" s="171"/>
      <c r="OJQ19" s="171"/>
      <c r="OJR19" s="171"/>
      <c r="OJS19" s="171"/>
      <c r="OJT19" s="171"/>
      <c r="OJU19" s="171"/>
      <c r="OJV19" s="171"/>
      <c r="OJW19" s="171"/>
      <c r="OJX19" s="171"/>
      <c r="OJY19" s="171"/>
      <c r="OJZ19" s="171"/>
      <c r="OKA19" s="171"/>
      <c r="OKB19" s="171"/>
      <c r="OKC19" s="171"/>
      <c r="OKD19" s="171"/>
      <c r="OKE19" s="171"/>
      <c r="OKF19" s="171"/>
      <c r="OKG19" s="171"/>
      <c r="OKH19" s="171"/>
      <c r="OKI19" s="171"/>
      <c r="OKJ19" s="171"/>
      <c r="OKK19" s="171"/>
      <c r="OKL19" s="171"/>
      <c r="OKM19" s="171"/>
      <c r="OKN19" s="171"/>
      <c r="OKO19" s="171"/>
      <c r="OKP19" s="171"/>
      <c r="OKQ19" s="171"/>
      <c r="OKR19" s="171"/>
      <c r="OKS19" s="171"/>
      <c r="OKT19" s="171"/>
      <c r="OKU19" s="171"/>
      <c r="OKV19" s="171"/>
      <c r="OKW19" s="171"/>
      <c r="OKX19" s="171"/>
      <c r="OKY19" s="171"/>
      <c r="OKZ19" s="171"/>
      <c r="OLA19" s="171"/>
      <c r="OLB19" s="171"/>
      <c r="OLC19" s="171"/>
      <c r="OLD19" s="171"/>
      <c r="OLE19" s="171"/>
      <c r="OLF19" s="171"/>
      <c r="OLG19" s="171"/>
      <c r="OLH19" s="171"/>
      <c r="OLI19" s="171"/>
      <c r="OLJ19" s="171"/>
      <c r="OLK19" s="171"/>
      <c r="OLL19" s="171"/>
      <c r="OLM19" s="171"/>
      <c r="OLN19" s="171"/>
      <c r="OLO19" s="171"/>
      <c r="OLP19" s="171"/>
      <c r="OLQ19" s="171"/>
      <c r="OLR19" s="171"/>
      <c r="OLS19" s="171"/>
      <c r="OLT19" s="171"/>
      <c r="OLU19" s="171"/>
      <c r="OLV19" s="171"/>
      <c r="OLW19" s="171"/>
      <c r="OLX19" s="171"/>
      <c r="OLY19" s="171"/>
      <c r="OLZ19" s="171"/>
      <c r="OMA19" s="171"/>
      <c r="OMB19" s="171"/>
      <c r="OMC19" s="171"/>
      <c r="OMD19" s="171"/>
      <c r="OME19" s="171"/>
      <c r="OMF19" s="171"/>
      <c r="OMG19" s="171"/>
      <c r="OMH19" s="171"/>
      <c r="OMI19" s="171"/>
      <c r="OMJ19" s="171"/>
      <c r="OMK19" s="171"/>
      <c r="OML19" s="171"/>
      <c r="OMM19" s="171"/>
      <c r="OMN19" s="171"/>
      <c r="OMO19" s="171"/>
      <c r="OMP19" s="171"/>
      <c r="OMQ19" s="171"/>
      <c r="OMR19" s="171"/>
      <c r="OMS19" s="171"/>
      <c r="OMT19" s="171"/>
      <c r="OMU19" s="171"/>
      <c r="OMV19" s="171"/>
      <c r="OMW19" s="171"/>
      <c r="OMX19" s="171"/>
      <c r="OMY19" s="171"/>
      <c r="OMZ19" s="171"/>
      <c r="ONA19" s="171"/>
      <c r="ONB19" s="171"/>
      <c r="ONC19" s="171"/>
      <c r="OND19" s="171"/>
      <c r="ONE19" s="171"/>
      <c r="ONF19" s="171"/>
      <c r="ONG19" s="171"/>
      <c r="ONH19" s="171"/>
      <c r="ONI19" s="171"/>
      <c r="ONJ19" s="171"/>
      <c r="ONK19" s="171"/>
      <c r="ONL19" s="171"/>
      <c r="ONM19" s="171"/>
      <c r="ONN19" s="171"/>
      <c r="ONO19" s="171"/>
      <c r="ONP19" s="171"/>
      <c r="ONQ19" s="171"/>
      <c r="ONR19" s="171"/>
      <c r="ONS19" s="171"/>
      <c r="ONT19" s="171"/>
      <c r="ONU19" s="171"/>
      <c r="ONV19" s="171"/>
      <c r="ONW19" s="171"/>
      <c r="ONX19" s="171"/>
      <c r="ONY19" s="171"/>
      <c r="ONZ19" s="171"/>
      <c r="OOA19" s="171"/>
      <c r="OOB19" s="171"/>
      <c r="OOC19" s="171"/>
      <c r="OOD19" s="171"/>
      <c r="OOE19" s="171"/>
      <c r="OOF19" s="171"/>
      <c r="OOG19" s="171"/>
      <c r="OOH19" s="171"/>
      <c r="OOI19" s="171"/>
      <c r="OOJ19" s="171"/>
      <c r="OOK19" s="171"/>
      <c r="OOL19" s="171"/>
      <c r="OOM19" s="171"/>
      <c r="OON19" s="171"/>
      <c r="OOO19" s="171"/>
      <c r="OOP19" s="171"/>
      <c r="OOQ19" s="171"/>
      <c r="OOR19" s="171"/>
      <c r="OOS19" s="171"/>
      <c r="OOT19" s="171"/>
      <c r="OOU19" s="171"/>
      <c r="OOV19" s="171"/>
      <c r="OOW19" s="171"/>
      <c r="OOX19" s="171"/>
      <c r="OOY19" s="171"/>
      <c r="OOZ19" s="171"/>
      <c r="OPA19" s="171"/>
      <c r="OPB19" s="171"/>
      <c r="OPC19" s="171"/>
      <c r="OPD19" s="171"/>
      <c r="OPE19" s="171"/>
      <c r="OPF19" s="171"/>
      <c r="OPG19" s="171"/>
      <c r="OPH19" s="171"/>
      <c r="OPI19" s="171"/>
      <c r="OPJ19" s="171"/>
      <c r="OPK19" s="171"/>
      <c r="OPL19" s="171"/>
      <c r="OPM19" s="171"/>
      <c r="OPN19" s="171"/>
      <c r="OPO19" s="171"/>
      <c r="OPP19" s="171"/>
      <c r="OPQ19" s="171"/>
      <c r="OPR19" s="171"/>
      <c r="OPS19" s="171"/>
      <c r="OPT19" s="171"/>
      <c r="OPU19" s="171"/>
      <c r="OPV19" s="171"/>
      <c r="OPW19" s="171"/>
      <c r="OPX19" s="171"/>
      <c r="OPY19" s="171"/>
      <c r="OPZ19" s="171"/>
      <c r="OQA19" s="171"/>
      <c r="OQB19" s="171"/>
      <c r="OQC19" s="171"/>
      <c r="OQD19" s="171"/>
      <c r="OQE19" s="171"/>
      <c r="OQF19" s="171"/>
      <c r="OQG19" s="171"/>
      <c r="OQH19" s="171"/>
      <c r="OQI19" s="171"/>
      <c r="OQJ19" s="171"/>
      <c r="OQK19" s="171"/>
      <c r="OQL19" s="171"/>
      <c r="OQM19" s="171"/>
      <c r="OQN19" s="171"/>
      <c r="OQO19" s="171"/>
      <c r="OQP19" s="171"/>
      <c r="OQQ19" s="171"/>
      <c r="OQR19" s="171"/>
      <c r="OQS19" s="171"/>
      <c r="OQT19" s="171"/>
      <c r="OQU19" s="171"/>
      <c r="OQV19" s="171"/>
      <c r="OQW19" s="171"/>
      <c r="OQX19" s="171"/>
      <c r="OQY19" s="171"/>
      <c r="OQZ19" s="171"/>
      <c r="ORA19" s="171"/>
      <c r="ORB19" s="171"/>
      <c r="ORC19" s="171"/>
      <c r="ORD19" s="171"/>
      <c r="ORE19" s="171"/>
      <c r="ORF19" s="171"/>
      <c r="ORG19" s="171"/>
      <c r="ORH19" s="171"/>
      <c r="ORI19" s="171"/>
      <c r="ORJ19" s="171"/>
      <c r="ORK19" s="171"/>
      <c r="ORL19" s="171"/>
      <c r="ORM19" s="171"/>
      <c r="ORN19" s="171"/>
      <c r="ORO19" s="171"/>
      <c r="ORP19" s="171"/>
      <c r="ORQ19" s="171"/>
      <c r="ORR19" s="171"/>
      <c r="ORS19" s="171"/>
      <c r="ORT19" s="171"/>
      <c r="ORU19" s="171"/>
      <c r="ORV19" s="171"/>
      <c r="ORW19" s="171"/>
      <c r="ORX19" s="171"/>
      <c r="ORY19" s="171"/>
      <c r="ORZ19" s="171"/>
      <c r="OSA19" s="171"/>
      <c r="OSB19" s="171"/>
      <c r="OSC19" s="171"/>
      <c r="OSD19" s="171"/>
      <c r="OSE19" s="171"/>
      <c r="OSF19" s="171"/>
      <c r="OSG19" s="171"/>
      <c r="OSH19" s="171"/>
      <c r="OSI19" s="171"/>
      <c r="OSJ19" s="171"/>
      <c r="OSK19" s="171"/>
      <c r="OSL19" s="171"/>
      <c r="OSM19" s="171"/>
      <c r="OSN19" s="171"/>
      <c r="OSO19" s="171"/>
      <c r="OSP19" s="171"/>
      <c r="OSQ19" s="171"/>
      <c r="OSR19" s="171"/>
      <c r="OSS19" s="171"/>
      <c r="OST19" s="171"/>
      <c r="OSU19" s="171"/>
      <c r="OSV19" s="171"/>
      <c r="OSW19" s="171"/>
      <c r="OSX19" s="171"/>
      <c r="OSY19" s="171"/>
      <c r="OSZ19" s="171"/>
      <c r="OTA19" s="171"/>
      <c r="OTB19" s="171"/>
      <c r="OTC19" s="171"/>
      <c r="OTD19" s="171"/>
      <c r="OTE19" s="171"/>
      <c r="OTF19" s="171"/>
      <c r="OTG19" s="171"/>
      <c r="OTH19" s="171"/>
      <c r="OTI19" s="171"/>
      <c r="OTJ19" s="171"/>
      <c r="OTK19" s="171"/>
      <c r="OTL19" s="171"/>
      <c r="OTM19" s="171"/>
      <c r="OTN19" s="171"/>
      <c r="OTO19" s="171"/>
      <c r="OTP19" s="171"/>
      <c r="OTQ19" s="171"/>
      <c r="OTR19" s="171"/>
      <c r="OTS19" s="171"/>
      <c r="OTT19" s="171"/>
      <c r="OTU19" s="171"/>
      <c r="OTV19" s="171"/>
      <c r="OTW19" s="171"/>
      <c r="OTX19" s="171"/>
      <c r="OTY19" s="171"/>
      <c r="OTZ19" s="171"/>
      <c r="OUA19" s="171"/>
      <c r="OUB19" s="171"/>
      <c r="OUC19" s="171"/>
      <c r="OUD19" s="171"/>
      <c r="OUE19" s="171"/>
      <c r="OUF19" s="171"/>
      <c r="OUG19" s="171"/>
      <c r="OUH19" s="171"/>
      <c r="OUI19" s="171"/>
      <c r="OUJ19" s="171"/>
      <c r="OUK19" s="171"/>
      <c r="OUL19" s="171"/>
      <c r="OUM19" s="171"/>
      <c r="OUN19" s="171"/>
      <c r="OUO19" s="171"/>
      <c r="OUP19" s="171"/>
      <c r="OUQ19" s="171"/>
      <c r="OUR19" s="171"/>
      <c r="OUS19" s="171"/>
      <c r="OUT19" s="171"/>
      <c r="OUU19" s="171"/>
      <c r="OUV19" s="171"/>
      <c r="OUW19" s="171"/>
      <c r="OUX19" s="171"/>
      <c r="OUY19" s="171"/>
      <c r="OUZ19" s="171"/>
      <c r="OVA19" s="171"/>
      <c r="OVB19" s="171"/>
      <c r="OVC19" s="171"/>
      <c r="OVD19" s="171"/>
      <c r="OVE19" s="171"/>
      <c r="OVF19" s="171"/>
      <c r="OVG19" s="171"/>
      <c r="OVH19" s="171"/>
      <c r="OVI19" s="171"/>
      <c r="OVJ19" s="171"/>
      <c r="OVK19" s="171"/>
      <c r="OVL19" s="171"/>
      <c r="OVM19" s="171"/>
      <c r="OVN19" s="171"/>
      <c r="OVO19" s="171"/>
      <c r="OVP19" s="171"/>
      <c r="OVQ19" s="171"/>
      <c r="OVR19" s="171"/>
      <c r="OVS19" s="171"/>
      <c r="OVT19" s="171"/>
      <c r="OVU19" s="171"/>
      <c r="OVV19" s="171"/>
      <c r="OVW19" s="171"/>
      <c r="OVX19" s="171"/>
      <c r="OVY19" s="171"/>
      <c r="OVZ19" s="171"/>
      <c r="OWA19" s="171"/>
      <c r="OWB19" s="171"/>
      <c r="OWC19" s="171"/>
      <c r="OWD19" s="171"/>
      <c r="OWE19" s="171"/>
      <c r="OWF19" s="171"/>
      <c r="OWG19" s="171"/>
      <c r="OWH19" s="171"/>
      <c r="OWI19" s="171"/>
      <c r="OWJ19" s="171"/>
      <c r="OWK19" s="171"/>
      <c r="OWL19" s="171"/>
      <c r="OWM19" s="171"/>
      <c r="OWN19" s="171"/>
      <c r="OWO19" s="171"/>
      <c r="OWP19" s="171"/>
      <c r="OWQ19" s="171"/>
      <c r="OWR19" s="171"/>
      <c r="OWS19" s="171"/>
      <c r="OWT19" s="171"/>
      <c r="OWU19" s="171"/>
      <c r="OWV19" s="171"/>
      <c r="OWW19" s="171"/>
      <c r="OWX19" s="171"/>
      <c r="OWY19" s="171"/>
      <c r="OWZ19" s="171"/>
      <c r="OXA19" s="171"/>
      <c r="OXB19" s="171"/>
      <c r="OXC19" s="171"/>
      <c r="OXD19" s="171"/>
      <c r="OXE19" s="171"/>
      <c r="OXF19" s="171"/>
      <c r="OXG19" s="171"/>
      <c r="OXH19" s="171"/>
      <c r="OXI19" s="171"/>
      <c r="OXJ19" s="171"/>
      <c r="OXK19" s="171"/>
      <c r="OXL19" s="171"/>
      <c r="OXM19" s="171"/>
      <c r="OXN19" s="171"/>
      <c r="OXO19" s="171"/>
      <c r="OXP19" s="171"/>
      <c r="OXQ19" s="171"/>
      <c r="OXR19" s="171"/>
      <c r="OXS19" s="171"/>
      <c r="OXT19" s="171"/>
      <c r="OXU19" s="171"/>
      <c r="OXV19" s="171"/>
      <c r="OXW19" s="171"/>
      <c r="OXX19" s="171"/>
      <c r="OXY19" s="171"/>
      <c r="OXZ19" s="171"/>
      <c r="OYA19" s="171"/>
      <c r="OYB19" s="171"/>
      <c r="OYC19" s="171"/>
      <c r="OYD19" s="171"/>
      <c r="OYE19" s="171"/>
      <c r="OYF19" s="171"/>
      <c r="OYG19" s="171"/>
      <c r="OYH19" s="171"/>
      <c r="OYI19" s="171"/>
      <c r="OYJ19" s="171"/>
      <c r="OYK19" s="171"/>
      <c r="OYL19" s="171"/>
      <c r="OYM19" s="171"/>
      <c r="OYN19" s="171"/>
      <c r="OYO19" s="171"/>
      <c r="OYP19" s="171"/>
      <c r="OYQ19" s="171"/>
      <c r="OYR19" s="171"/>
      <c r="OYS19" s="171"/>
      <c r="OYT19" s="171"/>
      <c r="OYU19" s="171"/>
      <c r="OYV19" s="171"/>
      <c r="OYW19" s="171"/>
      <c r="OYX19" s="171"/>
      <c r="OYY19" s="171"/>
      <c r="OYZ19" s="171"/>
      <c r="OZA19" s="171"/>
      <c r="OZB19" s="171"/>
      <c r="OZC19" s="171"/>
      <c r="OZD19" s="171"/>
      <c r="OZE19" s="171"/>
      <c r="OZF19" s="171"/>
      <c r="OZG19" s="171"/>
      <c r="OZH19" s="171"/>
      <c r="OZI19" s="171"/>
      <c r="OZJ19" s="171"/>
      <c r="OZK19" s="171"/>
      <c r="OZL19" s="171"/>
      <c r="OZM19" s="171"/>
      <c r="OZN19" s="171"/>
      <c r="OZO19" s="171"/>
      <c r="OZP19" s="171"/>
      <c r="OZQ19" s="171"/>
      <c r="OZR19" s="171"/>
      <c r="OZS19" s="171"/>
      <c r="OZT19" s="171"/>
      <c r="OZU19" s="171"/>
      <c r="OZV19" s="171"/>
      <c r="OZW19" s="171"/>
      <c r="OZX19" s="171"/>
      <c r="OZY19" s="171"/>
      <c r="OZZ19" s="171"/>
      <c r="PAA19" s="171"/>
      <c r="PAB19" s="171"/>
      <c r="PAC19" s="171"/>
      <c r="PAD19" s="171"/>
      <c r="PAE19" s="171"/>
      <c r="PAF19" s="171"/>
      <c r="PAG19" s="171"/>
      <c r="PAH19" s="171"/>
      <c r="PAI19" s="171"/>
      <c r="PAJ19" s="171"/>
      <c r="PAK19" s="171"/>
      <c r="PAL19" s="171"/>
      <c r="PAM19" s="171"/>
      <c r="PAN19" s="171"/>
      <c r="PAO19" s="171"/>
      <c r="PAP19" s="171"/>
      <c r="PAQ19" s="171"/>
      <c r="PAR19" s="171"/>
      <c r="PAS19" s="171"/>
      <c r="PAT19" s="171"/>
      <c r="PAU19" s="171"/>
      <c r="PAV19" s="171"/>
      <c r="PAW19" s="171"/>
      <c r="PAX19" s="171"/>
      <c r="PAY19" s="171"/>
      <c r="PAZ19" s="171"/>
      <c r="PBA19" s="171"/>
      <c r="PBB19" s="171"/>
      <c r="PBC19" s="171"/>
      <c r="PBD19" s="171"/>
      <c r="PBE19" s="171"/>
      <c r="PBF19" s="171"/>
      <c r="PBG19" s="171"/>
      <c r="PBH19" s="171"/>
      <c r="PBI19" s="171"/>
      <c r="PBJ19" s="171"/>
      <c r="PBK19" s="171"/>
      <c r="PBL19" s="171"/>
      <c r="PBM19" s="171"/>
      <c r="PBN19" s="171"/>
      <c r="PBO19" s="171"/>
      <c r="PBP19" s="171"/>
      <c r="PBQ19" s="171"/>
      <c r="PBR19" s="171"/>
      <c r="PBS19" s="171"/>
      <c r="PBT19" s="171"/>
      <c r="PBU19" s="171"/>
      <c r="PBV19" s="171"/>
      <c r="PBW19" s="171"/>
      <c r="PBX19" s="171"/>
      <c r="PBY19" s="171"/>
      <c r="PBZ19" s="171"/>
      <c r="PCA19" s="171"/>
      <c r="PCB19" s="171"/>
      <c r="PCC19" s="171"/>
      <c r="PCD19" s="171"/>
      <c r="PCE19" s="171"/>
      <c r="PCF19" s="171"/>
      <c r="PCG19" s="171"/>
      <c r="PCH19" s="171"/>
      <c r="PCI19" s="171"/>
      <c r="PCJ19" s="171"/>
      <c r="PCK19" s="171"/>
      <c r="PCL19" s="171"/>
      <c r="PCM19" s="171"/>
      <c r="PCN19" s="171"/>
      <c r="PCO19" s="171"/>
      <c r="PCP19" s="171"/>
      <c r="PCQ19" s="171"/>
      <c r="PCR19" s="171"/>
      <c r="PCS19" s="171"/>
      <c r="PCT19" s="171"/>
      <c r="PCU19" s="171"/>
      <c r="PCV19" s="171"/>
      <c r="PCW19" s="171"/>
      <c r="PCX19" s="171"/>
      <c r="PCY19" s="171"/>
      <c r="PCZ19" s="171"/>
      <c r="PDA19" s="171"/>
      <c r="PDB19" s="171"/>
      <c r="PDC19" s="171"/>
      <c r="PDD19" s="171"/>
      <c r="PDE19" s="171"/>
      <c r="PDF19" s="171"/>
      <c r="PDG19" s="171"/>
      <c r="PDH19" s="171"/>
      <c r="PDI19" s="171"/>
      <c r="PDJ19" s="171"/>
      <c r="PDK19" s="171"/>
      <c r="PDL19" s="171"/>
      <c r="PDM19" s="171"/>
      <c r="PDN19" s="171"/>
      <c r="PDO19" s="171"/>
      <c r="PDP19" s="171"/>
      <c r="PDQ19" s="171"/>
      <c r="PDR19" s="171"/>
      <c r="PDS19" s="171"/>
      <c r="PDT19" s="171"/>
      <c r="PDU19" s="171"/>
      <c r="PDV19" s="171"/>
      <c r="PDW19" s="171"/>
      <c r="PDX19" s="171"/>
      <c r="PDY19" s="171"/>
      <c r="PDZ19" s="171"/>
      <c r="PEA19" s="171"/>
      <c r="PEB19" s="171"/>
      <c r="PEC19" s="171"/>
      <c r="PED19" s="171"/>
      <c r="PEE19" s="171"/>
      <c r="PEF19" s="171"/>
      <c r="PEG19" s="171"/>
      <c r="PEH19" s="171"/>
      <c r="PEI19" s="171"/>
      <c r="PEJ19" s="171"/>
      <c r="PEK19" s="171"/>
      <c r="PEL19" s="171"/>
      <c r="PEM19" s="171"/>
      <c r="PEN19" s="171"/>
      <c r="PEO19" s="171"/>
      <c r="PEP19" s="171"/>
      <c r="PEQ19" s="171"/>
      <c r="PER19" s="171"/>
      <c r="PES19" s="171"/>
      <c r="PET19" s="171"/>
      <c r="PEU19" s="171"/>
      <c r="PEV19" s="171"/>
      <c r="PEW19" s="171"/>
      <c r="PEX19" s="171"/>
      <c r="PEY19" s="171"/>
      <c r="PEZ19" s="171"/>
      <c r="PFA19" s="171"/>
      <c r="PFB19" s="171"/>
      <c r="PFC19" s="171"/>
      <c r="PFD19" s="171"/>
      <c r="PFE19" s="171"/>
      <c r="PFF19" s="171"/>
      <c r="PFG19" s="171"/>
      <c r="PFH19" s="171"/>
      <c r="PFI19" s="171"/>
      <c r="PFJ19" s="171"/>
      <c r="PFK19" s="171"/>
      <c r="PFL19" s="171"/>
      <c r="PFM19" s="171"/>
      <c r="PFN19" s="171"/>
      <c r="PFO19" s="171"/>
      <c r="PFP19" s="171"/>
      <c r="PFQ19" s="171"/>
      <c r="PFR19" s="171"/>
      <c r="PFS19" s="171"/>
      <c r="PFT19" s="171"/>
      <c r="PFU19" s="171"/>
      <c r="PFV19" s="171"/>
      <c r="PFW19" s="171"/>
      <c r="PFX19" s="171"/>
      <c r="PFY19" s="171"/>
      <c r="PFZ19" s="171"/>
      <c r="PGA19" s="171"/>
      <c r="PGB19" s="171"/>
      <c r="PGC19" s="171"/>
      <c r="PGD19" s="171"/>
      <c r="PGE19" s="171"/>
      <c r="PGF19" s="171"/>
      <c r="PGG19" s="171"/>
      <c r="PGH19" s="171"/>
      <c r="PGI19" s="171"/>
      <c r="PGJ19" s="171"/>
      <c r="PGK19" s="171"/>
      <c r="PGL19" s="171"/>
      <c r="PGM19" s="171"/>
      <c r="PGN19" s="171"/>
      <c r="PGO19" s="171"/>
      <c r="PGP19" s="171"/>
      <c r="PGQ19" s="171"/>
      <c r="PGR19" s="171"/>
      <c r="PGS19" s="171"/>
      <c r="PGT19" s="171"/>
      <c r="PGU19" s="171"/>
      <c r="PGV19" s="171"/>
      <c r="PGW19" s="171"/>
      <c r="PGX19" s="171"/>
      <c r="PGY19" s="171"/>
      <c r="PGZ19" s="171"/>
      <c r="PHA19" s="171"/>
      <c r="PHB19" s="171"/>
      <c r="PHC19" s="171"/>
      <c r="PHD19" s="171"/>
      <c r="PHE19" s="171"/>
      <c r="PHF19" s="171"/>
      <c r="PHG19" s="171"/>
      <c r="PHH19" s="171"/>
      <c r="PHI19" s="171"/>
      <c r="PHJ19" s="171"/>
      <c r="PHK19" s="171"/>
      <c r="PHL19" s="171"/>
      <c r="PHM19" s="171"/>
      <c r="PHN19" s="171"/>
      <c r="PHO19" s="171"/>
      <c r="PHP19" s="171"/>
      <c r="PHQ19" s="171"/>
      <c r="PHR19" s="171"/>
      <c r="PHS19" s="171"/>
      <c r="PHT19" s="171"/>
      <c r="PHU19" s="171"/>
      <c r="PHV19" s="171"/>
      <c r="PHW19" s="171"/>
      <c r="PHX19" s="171"/>
      <c r="PHY19" s="171"/>
      <c r="PHZ19" s="171"/>
      <c r="PIA19" s="171"/>
      <c r="PIB19" s="171"/>
      <c r="PIC19" s="171"/>
      <c r="PID19" s="171"/>
      <c r="PIE19" s="171"/>
      <c r="PIF19" s="171"/>
      <c r="PIG19" s="171"/>
      <c r="PIH19" s="171"/>
      <c r="PII19" s="171"/>
      <c r="PIJ19" s="171"/>
      <c r="PIK19" s="171"/>
      <c r="PIL19" s="171"/>
      <c r="PIM19" s="171"/>
      <c r="PIN19" s="171"/>
      <c r="PIO19" s="171"/>
      <c r="PIP19" s="171"/>
      <c r="PIQ19" s="171"/>
      <c r="PIR19" s="171"/>
      <c r="PIS19" s="171"/>
      <c r="PIT19" s="171"/>
      <c r="PIU19" s="171"/>
      <c r="PIV19" s="171"/>
      <c r="PIW19" s="171"/>
      <c r="PIX19" s="171"/>
      <c r="PIY19" s="171"/>
      <c r="PIZ19" s="171"/>
      <c r="PJA19" s="171"/>
      <c r="PJB19" s="171"/>
      <c r="PJC19" s="171"/>
      <c r="PJD19" s="171"/>
      <c r="PJE19" s="171"/>
      <c r="PJF19" s="171"/>
      <c r="PJG19" s="171"/>
      <c r="PJH19" s="171"/>
      <c r="PJI19" s="171"/>
      <c r="PJJ19" s="171"/>
      <c r="PJK19" s="171"/>
      <c r="PJL19" s="171"/>
      <c r="PJM19" s="171"/>
      <c r="PJN19" s="171"/>
      <c r="PJO19" s="171"/>
      <c r="PJP19" s="171"/>
      <c r="PJQ19" s="171"/>
      <c r="PJR19" s="171"/>
      <c r="PJS19" s="171"/>
      <c r="PJT19" s="171"/>
      <c r="PJU19" s="171"/>
      <c r="PJV19" s="171"/>
      <c r="PJW19" s="171"/>
      <c r="PJX19" s="171"/>
      <c r="PJY19" s="171"/>
      <c r="PJZ19" s="171"/>
      <c r="PKA19" s="171"/>
      <c r="PKB19" s="171"/>
      <c r="PKC19" s="171"/>
      <c r="PKD19" s="171"/>
      <c r="PKE19" s="171"/>
      <c r="PKF19" s="171"/>
      <c r="PKG19" s="171"/>
      <c r="PKH19" s="171"/>
      <c r="PKI19" s="171"/>
      <c r="PKJ19" s="171"/>
      <c r="PKK19" s="171"/>
      <c r="PKL19" s="171"/>
      <c r="PKM19" s="171"/>
      <c r="PKN19" s="171"/>
      <c r="PKO19" s="171"/>
      <c r="PKP19" s="171"/>
      <c r="PKQ19" s="171"/>
      <c r="PKR19" s="171"/>
      <c r="PKS19" s="171"/>
      <c r="PKT19" s="171"/>
      <c r="PKU19" s="171"/>
      <c r="PKV19" s="171"/>
      <c r="PKW19" s="171"/>
      <c r="PKX19" s="171"/>
      <c r="PKY19" s="171"/>
      <c r="PKZ19" s="171"/>
      <c r="PLA19" s="171"/>
      <c r="PLB19" s="171"/>
      <c r="PLC19" s="171"/>
      <c r="PLD19" s="171"/>
      <c r="PLE19" s="171"/>
      <c r="PLF19" s="171"/>
      <c r="PLG19" s="171"/>
      <c r="PLH19" s="171"/>
      <c r="PLI19" s="171"/>
      <c r="PLJ19" s="171"/>
      <c r="PLK19" s="171"/>
      <c r="PLL19" s="171"/>
      <c r="PLM19" s="171"/>
      <c r="PLN19" s="171"/>
      <c r="PLO19" s="171"/>
      <c r="PLP19" s="171"/>
      <c r="PLQ19" s="171"/>
      <c r="PLR19" s="171"/>
      <c r="PLS19" s="171"/>
      <c r="PLT19" s="171"/>
      <c r="PLU19" s="171"/>
      <c r="PLV19" s="171"/>
      <c r="PLW19" s="171"/>
      <c r="PLX19" s="171"/>
      <c r="PLY19" s="171"/>
      <c r="PLZ19" s="171"/>
      <c r="PMA19" s="171"/>
      <c r="PMB19" s="171"/>
      <c r="PMC19" s="171"/>
      <c r="PMD19" s="171"/>
      <c r="PME19" s="171"/>
      <c r="PMF19" s="171"/>
      <c r="PMG19" s="171"/>
      <c r="PMH19" s="171"/>
      <c r="PMI19" s="171"/>
      <c r="PMJ19" s="171"/>
      <c r="PMK19" s="171"/>
      <c r="PML19" s="171"/>
      <c r="PMM19" s="171"/>
      <c r="PMN19" s="171"/>
      <c r="PMO19" s="171"/>
      <c r="PMP19" s="171"/>
      <c r="PMQ19" s="171"/>
      <c r="PMR19" s="171"/>
      <c r="PMS19" s="171"/>
      <c r="PMT19" s="171"/>
      <c r="PMU19" s="171"/>
      <c r="PMV19" s="171"/>
      <c r="PMW19" s="171"/>
      <c r="PMX19" s="171"/>
      <c r="PMY19" s="171"/>
      <c r="PMZ19" s="171"/>
      <c r="PNA19" s="171"/>
      <c r="PNB19" s="171"/>
      <c r="PNC19" s="171"/>
      <c r="PND19" s="171"/>
      <c r="PNE19" s="171"/>
      <c r="PNF19" s="171"/>
      <c r="PNG19" s="171"/>
      <c r="PNH19" s="171"/>
      <c r="PNI19" s="171"/>
      <c r="PNJ19" s="171"/>
      <c r="PNK19" s="171"/>
      <c r="PNL19" s="171"/>
      <c r="PNM19" s="171"/>
      <c r="PNN19" s="171"/>
      <c r="PNO19" s="171"/>
      <c r="PNP19" s="171"/>
      <c r="PNQ19" s="171"/>
      <c r="PNR19" s="171"/>
      <c r="PNS19" s="171"/>
      <c r="PNT19" s="171"/>
      <c r="PNU19" s="171"/>
      <c r="PNV19" s="171"/>
      <c r="PNW19" s="171"/>
      <c r="PNX19" s="171"/>
      <c r="PNY19" s="171"/>
      <c r="PNZ19" s="171"/>
      <c r="POA19" s="171"/>
      <c r="POB19" s="171"/>
      <c r="POC19" s="171"/>
      <c r="POD19" s="171"/>
      <c r="POE19" s="171"/>
      <c r="POF19" s="171"/>
      <c r="POG19" s="171"/>
      <c r="POH19" s="171"/>
      <c r="POI19" s="171"/>
      <c r="POJ19" s="171"/>
      <c r="POK19" s="171"/>
      <c r="POL19" s="171"/>
      <c r="POM19" s="171"/>
      <c r="PON19" s="171"/>
      <c r="POO19" s="171"/>
      <c r="POP19" s="171"/>
      <c r="POQ19" s="171"/>
      <c r="POR19" s="171"/>
      <c r="POS19" s="171"/>
      <c r="POT19" s="171"/>
      <c r="POU19" s="171"/>
      <c r="POV19" s="171"/>
      <c r="POW19" s="171"/>
      <c r="POX19" s="171"/>
      <c r="POY19" s="171"/>
      <c r="POZ19" s="171"/>
      <c r="PPA19" s="171"/>
      <c r="PPB19" s="171"/>
      <c r="PPC19" s="171"/>
      <c r="PPD19" s="171"/>
      <c r="PPE19" s="171"/>
      <c r="PPF19" s="171"/>
      <c r="PPG19" s="171"/>
      <c r="PPH19" s="171"/>
      <c r="PPI19" s="171"/>
      <c r="PPJ19" s="171"/>
      <c r="PPK19" s="171"/>
      <c r="PPL19" s="171"/>
      <c r="PPM19" s="171"/>
      <c r="PPN19" s="171"/>
      <c r="PPO19" s="171"/>
      <c r="PPP19" s="171"/>
      <c r="PPQ19" s="171"/>
      <c r="PPR19" s="171"/>
      <c r="PPS19" s="171"/>
      <c r="PPT19" s="171"/>
      <c r="PPU19" s="171"/>
      <c r="PPV19" s="171"/>
      <c r="PPW19" s="171"/>
      <c r="PPX19" s="171"/>
      <c r="PPY19" s="171"/>
      <c r="PPZ19" s="171"/>
      <c r="PQA19" s="171"/>
      <c r="PQB19" s="171"/>
      <c r="PQC19" s="171"/>
      <c r="PQD19" s="171"/>
      <c r="PQE19" s="171"/>
      <c r="PQF19" s="171"/>
      <c r="PQG19" s="171"/>
      <c r="PQH19" s="171"/>
      <c r="PQI19" s="171"/>
      <c r="PQJ19" s="171"/>
      <c r="PQK19" s="171"/>
      <c r="PQL19" s="171"/>
      <c r="PQM19" s="171"/>
      <c r="PQN19" s="171"/>
      <c r="PQO19" s="171"/>
      <c r="PQP19" s="171"/>
      <c r="PQQ19" s="171"/>
      <c r="PQR19" s="171"/>
      <c r="PQS19" s="171"/>
      <c r="PQT19" s="171"/>
      <c r="PQU19" s="171"/>
      <c r="PQV19" s="171"/>
      <c r="PQW19" s="171"/>
      <c r="PQX19" s="171"/>
      <c r="PQY19" s="171"/>
      <c r="PQZ19" s="171"/>
      <c r="PRA19" s="171"/>
      <c r="PRB19" s="171"/>
      <c r="PRC19" s="171"/>
      <c r="PRD19" s="171"/>
      <c r="PRE19" s="171"/>
      <c r="PRF19" s="171"/>
      <c r="PRG19" s="171"/>
      <c r="PRH19" s="171"/>
      <c r="PRI19" s="171"/>
      <c r="PRJ19" s="171"/>
      <c r="PRK19" s="171"/>
      <c r="PRL19" s="171"/>
      <c r="PRM19" s="171"/>
      <c r="PRN19" s="171"/>
      <c r="PRO19" s="171"/>
      <c r="PRP19" s="171"/>
      <c r="PRQ19" s="171"/>
      <c r="PRR19" s="171"/>
      <c r="PRS19" s="171"/>
      <c r="PRT19" s="171"/>
      <c r="PRU19" s="171"/>
      <c r="PRV19" s="171"/>
      <c r="PRW19" s="171"/>
      <c r="PRX19" s="171"/>
      <c r="PRY19" s="171"/>
      <c r="PRZ19" s="171"/>
      <c r="PSA19" s="171"/>
      <c r="PSB19" s="171"/>
      <c r="PSC19" s="171"/>
      <c r="PSD19" s="171"/>
      <c r="PSE19" s="171"/>
      <c r="PSF19" s="171"/>
      <c r="PSG19" s="171"/>
      <c r="PSH19" s="171"/>
      <c r="PSI19" s="171"/>
      <c r="PSJ19" s="171"/>
      <c r="PSK19" s="171"/>
      <c r="PSL19" s="171"/>
      <c r="PSM19" s="171"/>
      <c r="PSN19" s="171"/>
      <c r="PSO19" s="171"/>
      <c r="PSP19" s="171"/>
      <c r="PSQ19" s="171"/>
      <c r="PSR19" s="171"/>
      <c r="PSS19" s="171"/>
      <c r="PST19" s="171"/>
      <c r="PSU19" s="171"/>
      <c r="PSV19" s="171"/>
      <c r="PSW19" s="171"/>
      <c r="PSX19" s="171"/>
      <c r="PSY19" s="171"/>
      <c r="PSZ19" s="171"/>
      <c r="PTA19" s="171"/>
      <c r="PTB19" s="171"/>
      <c r="PTC19" s="171"/>
      <c r="PTD19" s="171"/>
      <c r="PTE19" s="171"/>
      <c r="PTF19" s="171"/>
      <c r="PTG19" s="171"/>
      <c r="PTH19" s="171"/>
      <c r="PTI19" s="171"/>
      <c r="PTJ19" s="171"/>
      <c r="PTK19" s="171"/>
      <c r="PTL19" s="171"/>
      <c r="PTM19" s="171"/>
      <c r="PTN19" s="171"/>
      <c r="PTO19" s="171"/>
      <c r="PTP19" s="171"/>
      <c r="PTQ19" s="171"/>
      <c r="PTR19" s="171"/>
      <c r="PTS19" s="171"/>
      <c r="PTT19" s="171"/>
      <c r="PTU19" s="171"/>
      <c r="PTV19" s="171"/>
      <c r="PTW19" s="171"/>
      <c r="PTX19" s="171"/>
      <c r="PTY19" s="171"/>
      <c r="PTZ19" s="171"/>
      <c r="PUA19" s="171"/>
      <c r="PUB19" s="171"/>
      <c r="PUC19" s="171"/>
      <c r="PUD19" s="171"/>
      <c r="PUE19" s="171"/>
      <c r="PUF19" s="171"/>
      <c r="PUG19" s="171"/>
      <c r="PUH19" s="171"/>
      <c r="PUI19" s="171"/>
      <c r="PUJ19" s="171"/>
      <c r="PUK19" s="171"/>
      <c r="PUL19" s="171"/>
      <c r="PUM19" s="171"/>
      <c r="PUN19" s="171"/>
      <c r="PUO19" s="171"/>
      <c r="PUP19" s="171"/>
      <c r="PUQ19" s="171"/>
      <c r="PUR19" s="171"/>
      <c r="PUS19" s="171"/>
      <c r="PUT19" s="171"/>
      <c r="PUU19" s="171"/>
      <c r="PUV19" s="171"/>
      <c r="PUW19" s="171"/>
      <c r="PUX19" s="171"/>
      <c r="PUY19" s="171"/>
      <c r="PUZ19" s="171"/>
      <c r="PVA19" s="171"/>
      <c r="PVB19" s="171"/>
      <c r="PVC19" s="171"/>
      <c r="PVD19" s="171"/>
      <c r="PVE19" s="171"/>
      <c r="PVF19" s="171"/>
      <c r="PVG19" s="171"/>
      <c r="PVH19" s="171"/>
      <c r="PVI19" s="171"/>
      <c r="PVJ19" s="171"/>
      <c r="PVK19" s="171"/>
      <c r="PVL19" s="171"/>
      <c r="PVM19" s="171"/>
      <c r="PVN19" s="171"/>
      <c r="PVO19" s="171"/>
      <c r="PVP19" s="171"/>
      <c r="PVQ19" s="171"/>
      <c r="PVR19" s="171"/>
      <c r="PVS19" s="171"/>
      <c r="PVT19" s="171"/>
      <c r="PVU19" s="171"/>
      <c r="PVV19" s="171"/>
      <c r="PVW19" s="171"/>
      <c r="PVX19" s="171"/>
      <c r="PVY19" s="171"/>
      <c r="PVZ19" s="171"/>
      <c r="PWA19" s="171"/>
      <c r="PWB19" s="171"/>
      <c r="PWC19" s="171"/>
      <c r="PWD19" s="171"/>
      <c r="PWE19" s="171"/>
      <c r="PWF19" s="171"/>
      <c r="PWG19" s="171"/>
      <c r="PWH19" s="171"/>
      <c r="PWI19" s="171"/>
      <c r="PWJ19" s="171"/>
      <c r="PWK19" s="171"/>
      <c r="PWL19" s="171"/>
      <c r="PWM19" s="171"/>
      <c r="PWN19" s="171"/>
      <c r="PWO19" s="171"/>
      <c r="PWP19" s="171"/>
      <c r="PWQ19" s="171"/>
      <c r="PWR19" s="171"/>
      <c r="PWS19" s="171"/>
      <c r="PWT19" s="171"/>
      <c r="PWU19" s="171"/>
      <c r="PWV19" s="171"/>
      <c r="PWW19" s="171"/>
      <c r="PWX19" s="171"/>
      <c r="PWY19" s="171"/>
      <c r="PWZ19" s="171"/>
      <c r="PXA19" s="171"/>
      <c r="PXB19" s="171"/>
      <c r="PXC19" s="171"/>
      <c r="PXD19" s="171"/>
      <c r="PXE19" s="171"/>
      <c r="PXF19" s="171"/>
      <c r="PXG19" s="171"/>
      <c r="PXH19" s="171"/>
      <c r="PXI19" s="171"/>
      <c r="PXJ19" s="171"/>
      <c r="PXK19" s="171"/>
      <c r="PXL19" s="171"/>
      <c r="PXM19" s="171"/>
      <c r="PXN19" s="171"/>
      <c r="PXO19" s="171"/>
      <c r="PXP19" s="171"/>
      <c r="PXQ19" s="171"/>
      <c r="PXR19" s="171"/>
      <c r="PXS19" s="171"/>
      <c r="PXT19" s="171"/>
      <c r="PXU19" s="171"/>
      <c r="PXV19" s="171"/>
      <c r="PXW19" s="171"/>
      <c r="PXX19" s="171"/>
      <c r="PXY19" s="171"/>
      <c r="PXZ19" s="171"/>
      <c r="PYA19" s="171"/>
      <c r="PYB19" s="171"/>
      <c r="PYC19" s="171"/>
      <c r="PYD19" s="171"/>
      <c r="PYE19" s="171"/>
      <c r="PYF19" s="171"/>
      <c r="PYG19" s="171"/>
      <c r="PYH19" s="171"/>
      <c r="PYI19" s="171"/>
      <c r="PYJ19" s="171"/>
      <c r="PYK19" s="171"/>
      <c r="PYL19" s="171"/>
      <c r="PYM19" s="171"/>
      <c r="PYN19" s="171"/>
      <c r="PYO19" s="171"/>
      <c r="PYP19" s="171"/>
      <c r="PYQ19" s="171"/>
      <c r="PYR19" s="171"/>
      <c r="PYS19" s="171"/>
      <c r="PYT19" s="171"/>
      <c r="PYU19" s="171"/>
      <c r="PYV19" s="171"/>
      <c r="PYW19" s="171"/>
      <c r="PYX19" s="171"/>
      <c r="PYY19" s="171"/>
      <c r="PYZ19" s="171"/>
      <c r="PZA19" s="171"/>
      <c r="PZB19" s="171"/>
      <c r="PZC19" s="171"/>
      <c r="PZD19" s="171"/>
      <c r="PZE19" s="171"/>
      <c r="PZF19" s="171"/>
      <c r="PZG19" s="171"/>
      <c r="PZH19" s="171"/>
      <c r="PZI19" s="171"/>
      <c r="PZJ19" s="171"/>
      <c r="PZK19" s="171"/>
      <c r="PZL19" s="171"/>
      <c r="PZM19" s="171"/>
      <c r="PZN19" s="171"/>
      <c r="PZO19" s="171"/>
      <c r="PZP19" s="171"/>
      <c r="PZQ19" s="171"/>
      <c r="PZR19" s="171"/>
      <c r="PZS19" s="171"/>
      <c r="PZT19" s="171"/>
      <c r="PZU19" s="171"/>
      <c r="PZV19" s="171"/>
      <c r="PZW19" s="171"/>
      <c r="PZX19" s="171"/>
      <c r="PZY19" s="171"/>
      <c r="PZZ19" s="171"/>
      <c r="QAA19" s="171"/>
      <c r="QAB19" s="171"/>
      <c r="QAC19" s="171"/>
      <c r="QAD19" s="171"/>
      <c r="QAE19" s="171"/>
      <c r="QAF19" s="171"/>
      <c r="QAG19" s="171"/>
      <c r="QAH19" s="171"/>
      <c r="QAI19" s="171"/>
      <c r="QAJ19" s="171"/>
      <c r="QAK19" s="171"/>
      <c r="QAL19" s="171"/>
      <c r="QAM19" s="171"/>
      <c r="QAN19" s="171"/>
      <c r="QAO19" s="171"/>
      <c r="QAP19" s="171"/>
      <c r="QAQ19" s="171"/>
      <c r="QAR19" s="171"/>
      <c r="QAS19" s="171"/>
      <c r="QAT19" s="171"/>
      <c r="QAU19" s="171"/>
      <c r="QAV19" s="171"/>
      <c r="QAW19" s="171"/>
      <c r="QAX19" s="171"/>
      <c r="QAY19" s="171"/>
      <c r="QAZ19" s="171"/>
      <c r="QBA19" s="171"/>
      <c r="QBB19" s="171"/>
      <c r="QBC19" s="171"/>
      <c r="QBD19" s="171"/>
      <c r="QBE19" s="171"/>
      <c r="QBF19" s="171"/>
      <c r="QBG19" s="171"/>
      <c r="QBH19" s="171"/>
      <c r="QBI19" s="171"/>
      <c r="QBJ19" s="171"/>
      <c r="QBK19" s="171"/>
      <c r="QBL19" s="171"/>
      <c r="QBM19" s="171"/>
      <c r="QBN19" s="171"/>
      <c r="QBO19" s="171"/>
      <c r="QBP19" s="171"/>
      <c r="QBQ19" s="171"/>
      <c r="QBR19" s="171"/>
      <c r="QBS19" s="171"/>
      <c r="QBT19" s="171"/>
      <c r="QBU19" s="171"/>
      <c r="QBV19" s="171"/>
      <c r="QBW19" s="171"/>
      <c r="QBX19" s="171"/>
      <c r="QBY19" s="171"/>
      <c r="QBZ19" s="171"/>
      <c r="QCA19" s="171"/>
      <c r="QCB19" s="171"/>
      <c r="QCC19" s="171"/>
      <c r="QCD19" s="171"/>
      <c r="QCE19" s="171"/>
      <c r="QCF19" s="171"/>
      <c r="QCG19" s="171"/>
      <c r="QCH19" s="171"/>
      <c r="QCI19" s="171"/>
      <c r="QCJ19" s="171"/>
      <c r="QCK19" s="171"/>
      <c r="QCL19" s="171"/>
      <c r="QCM19" s="171"/>
      <c r="QCN19" s="171"/>
      <c r="QCO19" s="171"/>
      <c r="QCP19" s="171"/>
      <c r="QCQ19" s="171"/>
      <c r="QCR19" s="171"/>
      <c r="QCS19" s="171"/>
      <c r="QCT19" s="171"/>
      <c r="QCU19" s="171"/>
      <c r="QCV19" s="171"/>
      <c r="QCW19" s="171"/>
      <c r="QCX19" s="171"/>
      <c r="QCY19" s="171"/>
      <c r="QCZ19" s="171"/>
      <c r="QDA19" s="171"/>
      <c r="QDB19" s="171"/>
      <c r="QDC19" s="171"/>
      <c r="QDD19" s="171"/>
      <c r="QDE19" s="171"/>
      <c r="QDF19" s="171"/>
      <c r="QDG19" s="171"/>
      <c r="QDH19" s="171"/>
      <c r="QDI19" s="171"/>
      <c r="QDJ19" s="171"/>
      <c r="QDK19" s="171"/>
      <c r="QDL19" s="171"/>
      <c r="QDM19" s="171"/>
      <c r="QDN19" s="171"/>
      <c r="QDO19" s="171"/>
      <c r="QDP19" s="171"/>
      <c r="QDQ19" s="171"/>
      <c r="QDR19" s="171"/>
      <c r="QDS19" s="171"/>
      <c r="QDT19" s="171"/>
      <c r="QDU19" s="171"/>
      <c r="QDV19" s="171"/>
      <c r="QDW19" s="171"/>
      <c r="QDX19" s="171"/>
      <c r="QDY19" s="171"/>
      <c r="QDZ19" s="171"/>
      <c r="QEA19" s="171"/>
      <c r="QEB19" s="171"/>
      <c r="QEC19" s="171"/>
      <c r="QED19" s="171"/>
      <c r="QEE19" s="171"/>
      <c r="QEF19" s="171"/>
      <c r="QEG19" s="171"/>
      <c r="QEH19" s="171"/>
      <c r="QEI19" s="171"/>
      <c r="QEJ19" s="171"/>
      <c r="QEK19" s="171"/>
      <c r="QEL19" s="171"/>
      <c r="QEM19" s="171"/>
      <c r="QEN19" s="171"/>
      <c r="QEO19" s="171"/>
      <c r="QEP19" s="171"/>
      <c r="QEQ19" s="171"/>
      <c r="QER19" s="171"/>
      <c r="QES19" s="171"/>
      <c r="QET19" s="171"/>
      <c r="QEU19" s="171"/>
      <c r="QEV19" s="171"/>
      <c r="QEW19" s="171"/>
      <c r="QEX19" s="171"/>
      <c r="QEY19" s="171"/>
      <c r="QEZ19" s="171"/>
      <c r="QFA19" s="171"/>
      <c r="QFB19" s="171"/>
      <c r="QFC19" s="171"/>
      <c r="QFD19" s="171"/>
      <c r="QFE19" s="171"/>
      <c r="QFF19" s="171"/>
      <c r="QFG19" s="171"/>
      <c r="QFH19" s="171"/>
      <c r="QFI19" s="171"/>
      <c r="QFJ19" s="171"/>
      <c r="QFK19" s="171"/>
      <c r="QFL19" s="171"/>
      <c r="QFM19" s="171"/>
      <c r="QFN19" s="171"/>
      <c r="QFO19" s="171"/>
      <c r="QFP19" s="171"/>
      <c r="QFQ19" s="171"/>
      <c r="QFR19" s="171"/>
      <c r="QFS19" s="171"/>
      <c r="QFT19" s="171"/>
      <c r="QFU19" s="171"/>
      <c r="QFV19" s="171"/>
      <c r="QFW19" s="171"/>
      <c r="QFX19" s="171"/>
      <c r="QFY19" s="171"/>
      <c r="QFZ19" s="171"/>
      <c r="QGA19" s="171"/>
      <c r="QGB19" s="171"/>
      <c r="QGC19" s="171"/>
      <c r="QGD19" s="171"/>
      <c r="QGE19" s="171"/>
      <c r="QGF19" s="171"/>
      <c r="QGG19" s="171"/>
      <c r="QGH19" s="171"/>
      <c r="QGI19" s="171"/>
      <c r="QGJ19" s="171"/>
      <c r="QGK19" s="171"/>
      <c r="QGL19" s="171"/>
      <c r="QGM19" s="171"/>
      <c r="QGN19" s="171"/>
      <c r="QGO19" s="171"/>
      <c r="QGP19" s="171"/>
      <c r="QGQ19" s="171"/>
      <c r="QGR19" s="171"/>
      <c r="QGS19" s="171"/>
      <c r="QGT19" s="171"/>
      <c r="QGU19" s="171"/>
      <c r="QGV19" s="171"/>
      <c r="QGW19" s="171"/>
      <c r="QGX19" s="171"/>
      <c r="QGY19" s="171"/>
      <c r="QGZ19" s="171"/>
      <c r="QHA19" s="171"/>
      <c r="QHB19" s="171"/>
      <c r="QHC19" s="171"/>
      <c r="QHD19" s="171"/>
      <c r="QHE19" s="171"/>
      <c r="QHF19" s="171"/>
      <c r="QHG19" s="171"/>
      <c r="QHH19" s="171"/>
      <c r="QHI19" s="171"/>
      <c r="QHJ19" s="171"/>
      <c r="QHK19" s="171"/>
      <c r="QHL19" s="171"/>
      <c r="QHM19" s="171"/>
      <c r="QHN19" s="171"/>
      <c r="QHO19" s="171"/>
      <c r="QHP19" s="171"/>
      <c r="QHQ19" s="171"/>
      <c r="QHR19" s="171"/>
      <c r="QHS19" s="171"/>
      <c r="QHT19" s="171"/>
      <c r="QHU19" s="171"/>
      <c r="QHV19" s="171"/>
      <c r="QHW19" s="171"/>
      <c r="QHX19" s="171"/>
      <c r="QHY19" s="171"/>
      <c r="QHZ19" s="171"/>
      <c r="QIA19" s="171"/>
      <c r="QIB19" s="171"/>
      <c r="QIC19" s="171"/>
      <c r="QID19" s="171"/>
      <c r="QIE19" s="171"/>
      <c r="QIF19" s="171"/>
      <c r="QIG19" s="171"/>
      <c r="QIH19" s="171"/>
      <c r="QII19" s="171"/>
      <c r="QIJ19" s="171"/>
      <c r="QIK19" s="171"/>
      <c r="QIL19" s="171"/>
      <c r="QIM19" s="171"/>
      <c r="QIN19" s="171"/>
      <c r="QIO19" s="171"/>
      <c r="QIP19" s="171"/>
      <c r="QIQ19" s="171"/>
      <c r="QIR19" s="171"/>
      <c r="QIS19" s="171"/>
      <c r="QIT19" s="171"/>
      <c r="QIU19" s="171"/>
      <c r="QIV19" s="171"/>
      <c r="QIW19" s="171"/>
      <c r="QIX19" s="171"/>
      <c r="QIY19" s="171"/>
      <c r="QIZ19" s="171"/>
      <c r="QJA19" s="171"/>
      <c r="QJB19" s="171"/>
      <c r="QJC19" s="171"/>
      <c r="QJD19" s="171"/>
      <c r="QJE19" s="171"/>
      <c r="QJF19" s="171"/>
      <c r="QJG19" s="171"/>
      <c r="QJH19" s="171"/>
      <c r="QJI19" s="171"/>
      <c r="QJJ19" s="171"/>
      <c r="QJK19" s="171"/>
      <c r="QJL19" s="171"/>
      <c r="QJM19" s="171"/>
      <c r="QJN19" s="171"/>
      <c r="QJO19" s="171"/>
      <c r="QJP19" s="171"/>
      <c r="QJQ19" s="171"/>
      <c r="QJR19" s="171"/>
      <c r="QJS19" s="171"/>
      <c r="QJT19" s="171"/>
      <c r="QJU19" s="171"/>
      <c r="QJV19" s="171"/>
      <c r="QJW19" s="171"/>
      <c r="QJX19" s="171"/>
      <c r="QJY19" s="171"/>
      <c r="QJZ19" s="171"/>
      <c r="QKA19" s="171"/>
      <c r="QKB19" s="171"/>
      <c r="QKC19" s="171"/>
      <c r="QKD19" s="171"/>
      <c r="QKE19" s="171"/>
      <c r="QKF19" s="171"/>
      <c r="QKG19" s="171"/>
      <c r="QKH19" s="171"/>
      <c r="QKI19" s="171"/>
      <c r="QKJ19" s="171"/>
      <c r="QKK19" s="171"/>
      <c r="QKL19" s="171"/>
      <c r="QKM19" s="171"/>
      <c r="QKN19" s="171"/>
      <c r="QKO19" s="171"/>
      <c r="QKP19" s="171"/>
      <c r="QKQ19" s="171"/>
      <c r="QKR19" s="171"/>
      <c r="QKS19" s="171"/>
      <c r="QKT19" s="171"/>
      <c r="QKU19" s="171"/>
      <c r="QKV19" s="171"/>
      <c r="QKW19" s="171"/>
      <c r="QKX19" s="171"/>
      <c r="QKY19" s="171"/>
      <c r="QKZ19" s="171"/>
      <c r="QLA19" s="171"/>
      <c r="QLB19" s="171"/>
      <c r="QLC19" s="171"/>
      <c r="QLD19" s="171"/>
      <c r="QLE19" s="171"/>
      <c r="QLF19" s="171"/>
      <c r="QLG19" s="171"/>
      <c r="QLH19" s="171"/>
      <c r="QLI19" s="171"/>
      <c r="QLJ19" s="171"/>
      <c r="QLK19" s="171"/>
      <c r="QLL19" s="171"/>
      <c r="QLM19" s="171"/>
      <c r="QLN19" s="171"/>
      <c r="QLO19" s="171"/>
      <c r="QLP19" s="171"/>
      <c r="QLQ19" s="171"/>
      <c r="QLR19" s="171"/>
      <c r="QLS19" s="171"/>
      <c r="QLT19" s="171"/>
      <c r="QLU19" s="171"/>
      <c r="QLV19" s="171"/>
      <c r="QLW19" s="171"/>
      <c r="QLX19" s="171"/>
      <c r="QLY19" s="171"/>
      <c r="QLZ19" s="171"/>
      <c r="QMA19" s="171"/>
      <c r="QMB19" s="171"/>
      <c r="QMC19" s="171"/>
      <c r="QMD19" s="171"/>
      <c r="QME19" s="171"/>
      <c r="QMF19" s="171"/>
      <c r="QMG19" s="171"/>
      <c r="QMH19" s="171"/>
      <c r="QMI19" s="171"/>
      <c r="QMJ19" s="171"/>
      <c r="QMK19" s="171"/>
      <c r="QML19" s="171"/>
      <c r="QMM19" s="171"/>
      <c r="QMN19" s="171"/>
      <c r="QMO19" s="171"/>
      <c r="QMP19" s="171"/>
      <c r="QMQ19" s="171"/>
      <c r="QMR19" s="171"/>
      <c r="QMS19" s="171"/>
      <c r="QMT19" s="171"/>
      <c r="QMU19" s="171"/>
      <c r="QMV19" s="171"/>
      <c r="QMW19" s="171"/>
      <c r="QMX19" s="171"/>
      <c r="QMY19" s="171"/>
      <c r="QMZ19" s="171"/>
      <c r="QNA19" s="171"/>
      <c r="QNB19" s="171"/>
      <c r="QNC19" s="171"/>
      <c r="QND19" s="171"/>
      <c r="QNE19" s="171"/>
      <c r="QNF19" s="171"/>
      <c r="QNG19" s="171"/>
      <c r="QNH19" s="171"/>
      <c r="QNI19" s="171"/>
      <c r="QNJ19" s="171"/>
      <c r="QNK19" s="171"/>
      <c r="QNL19" s="171"/>
      <c r="QNM19" s="171"/>
      <c r="QNN19" s="171"/>
      <c r="QNO19" s="171"/>
      <c r="QNP19" s="171"/>
      <c r="QNQ19" s="171"/>
      <c r="QNR19" s="171"/>
      <c r="QNS19" s="171"/>
      <c r="QNT19" s="171"/>
      <c r="QNU19" s="171"/>
      <c r="QNV19" s="171"/>
      <c r="QNW19" s="171"/>
      <c r="QNX19" s="171"/>
      <c r="QNY19" s="171"/>
      <c r="QNZ19" s="171"/>
      <c r="QOA19" s="171"/>
      <c r="QOB19" s="171"/>
      <c r="QOC19" s="171"/>
      <c r="QOD19" s="171"/>
      <c r="QOE19" s="171"/>
      <c r="QOF19" s="171"/>
      <c r="QOG19" s="171"/>
      <c r="QOH19" s="171"/>
      <c r="QOI19" s="171"/>
      <c r="QOJ19" s="171"/>
      <c r="QOK19" s="171"/>
      <c r="QOL19" s="171"/>
      <c r="QOM19" s="171"/>
      <c r="QON19" s="171"/>
      <c r="QOO19" s="171"/>
      <c r="QOP19" s="171"/>
      <c r="QOQ19" s="171"/>
      <c r="QOR19" s="171"/>
      <c r="QOS19" s="171"/>
      <c r="QOT19" s="171"/>
      <c r="QOU19" s="171"/>
      <c r="QOV19" s="171"/>
      <c r="QOW19" s="171"/>
      <c r="QOX19" s="171"/>
      <c r="QOY19" s="171"/>
      <c r="QOZ19" s="171"/>
      <c r="QPA19" s="171"/>
      <c r="QPB19" s="171"/>
      <c r="QPC19" s="171"/>
      <c r="QPD19" s="171"/>
      <c r="QPE19" s="171"/>
      <c r="QPF19" s="171"/>
      <c r="QPG19" s="171"/>
      <c r="QPH19" s="171"/>
      <c r="QPI19" s="171"/>
      <c r="QPJ19" s="171"/>
      <c r="QPK19" s="171"/>
      <c r="QPL19" s="171"/>
      <c r="QPM19" s="171"/>
      <c r="QPN19" s="171"/>
      <c r="QPO19" s="171"/>
      <c r="QPP19" s="171"/>
      <c r="QPQ19" s="171"/>
      <c r="QPR19" s="171"/>
      <c r="QPS19" s="171"/>
      <c r="QPT19" s="171"/>
      <c r="QPU19" s="171"/>
      <c r="QPV19" s="171"/>
      <c r="QPW19" s="171"/>
      <c r="QPX19" s="171"/>
      <c r="QPY19" s="171"/>
      <c r="QPZ19" s="171"/>
      <c r="QQA19" s="171"/>
      <c r="QQB19" s="171"/>
      <c r="QQC19" s="171"/>
      <c r="QQD19" s="171"/>
      <c r="QQE19" s="171"/>
      <c r="QQF19" s="171"/>
      <c r="QQG19" s="171"/>
      <c r="QQH19" s="171"/>
      <c r="QQI19" s="171"/>
      <c r="QQJ19" s="171"/>
      <c r="QQK19" s="171"/>
      <c r="QQL19" s="171"/>
      <c r="QQM19" s="171"/>
      <c r="QQN19" s="171"/>
      <c r="QQO19" s="171"/>
      <c r="QQP19" s="171"/>
      <c r="QQQ19" s="171"/>
      <c r="QQR19" s="171"/>
      <c r="QQS19" s="171"/>
      <c r="QQT19" s="171"/>
      <c r="QQU19" s="171"/>
      <c r="QQV19" s="171"/>
      <c r="QQW19" s="171"/>
      <c r="QQX19" s="171"/>
      <c r="QQY19" s="171"/>
      <c r="QQZ19" s="171"/>
      <c r="QRA19" s="171"/>
      <c r="QRB19" s="171"/>
      <c r="QRC19" s="171"/>
      <c r="QRD19" s="171"/>
      <c r="QRE19" s="171"/>
      <c r="QRF19" s="171"/>
      <c r="QRG19" s="171"/>
      <c r="QRH19" s="171"/>
      <c r="QRI19" s="171"/>
      <c r="QRJ19" s="171"/>
      <c r="QRK19" s="171"/>
      <c r="QRL19" s="171"/>
      <c r="QRM19" s="171"/>
      <c r="QRN19" s="171"/>
      <c r="QRO19" s="171"/>
      <c r="QRP19" s="171"/>
      <c r="QRQ19" s="171"/>
      <c r="QRR19" s="171"/>
      <c r="QRS19" s="171"/>
      <c r="QRT19" s="171"/>
      <c r="QRU19" s="171"/>
      <c r="QRV19" s="171"/>
      <c r="QRW19" s="171"/>
      <c r="QRX19" s="171"/>
      <c r="QRY19" s="171"/>
      <c r="QRZ19" s="171"/>
      <c r="QSA19" s="171"/>
      <c r="QSB19" s="171"/>
      <c r="QSC19" s="171"/>
      <c r="QSD19" s="171"/>
      <c r="QSE19" s="171"/>
      <c r="QSF19" s="171"/>
      <c r="QSG19" s="171"/>
      <c r="QSH19" s="171"/>
      <c r="QSI19" s="171"/>
      <c r="QSJ19" s="171"/>
      <c r="QSK19" s="171"/>
      <c r="QSL19" s="171"/>
      <c r="QSM19" s="171"/>
      <c r="QSN19" s="171"/>
      <c r="QSO19" s="171"/>
      <c r="QSP19" s="171"/>
      <c r="QSQ19" s="171"/>
      <c r="QSR19" s="171"/>
      <c r="QSS19" s="171"/>
      <c r="QST19" s="171"/>
      <c r="QSU19" s="171"/>
      <c r="QSV19" s="171"/>
      <c r="QSW19" s="171"/>
      <c r="QSX19" s="171"/>
      <c r="QSY19" s="171"/>
      <c r="QSZ19" s="171"/>
      <c r="QTA19" s="171"/>
      <c r="QTB19" s="171"/>
      <c r="QTC19" s="171"/>
      <c r="QTD19" s="171"/>
      <c r="QTE19" s="171"/>
      <c r="QTF19" s="171"/>
      <c r="QTG19" s="171"/>
      <c r="QTH19" s="171"/>
      <c r="QTI19" s="171"/>
      <c r="QTJ19" s="171"/>
      <c r="QTK19" s="171"/>
      <c r="QTL19" s="171"/>
      <c r="QTM19" s="171"/>
      <c r="QTN19" s="171"/>
      <c r="QTO19" s="171"/>
      <c r="QTP19" s="171"/>
      <c r="QTQ19" s="171"/>
      <c r="QTR19" s="171"/>
      <c r="QTS19" s="171"/>
      <c r="QTT19" s="171"/>
      <c r="QTU19" s="171"/>
      <c r="QTV19" s="171"/>
      <c r="QTW19" s="171"/>
      <c r="QTX19" s="171"/>
      <c r="QTY19" s="171"/>
      <c r="QTZ19" s="171"/>
      <c r="QUA19" s="171"/>
      <c r="QUB19" s="171"/>
      <c r="QUC19" s="171"/>
      <c r="QUD19" s="171"/>
      <c r="QUE19" s="171"/>
      <c r="QUF19" s="171"/>
      <c r="QUG19" s="171"/>
      <c r="QUH19" s="171"/>
      <c r="QUI19" s="171"/>
      <c r="QUJ19" s="171"/>
      <c r="QUK19" s="171"/>
      <c r="QUL19" s="171"/>
      <c r="QUM19" s="171"/>
      <c r="QUN19" s="171"/>
      <c r="QUO19" s="171"/>
      <c r="QUP19" s="171"/>
      <c r="QUQ19" s="171"/>
      <c r="QUR19" s="171"/>
      <c r="QUS19" s="171"/>
      <c r="QUT19" s="171"/>
      <c r="QUU19" s="171"/>
      <c r="QUV19" s="171"/>
      <c r="QUW19" s="171"/>
      <c r="QUX19" s="171"/>
      <c r="QUY19" s="171"/>
      <c r="QUZ19" s="171"/>
      <c r="QVA19" s="171"/>
      <c r="QVB19" s="171"/>
      <c r="QVC19" s="171"/>
      <c r="QVD19" s="171"/>
      <c r="QVE19" s="171"/>
      <c r="QVF19" s="171"/>
      <c r="QVG19" s="171"/>
      <c r="QVH19" s="171"/>
      <c r="QVI19" s="171"/>
      <c r="QVJ19" s="171"/>
      <c r="QVK19" s="171"/>
      <c r="QVL19" s="171"/>
      <c r="QVM19" s="171"/>
      <c r="QVN19" s="171"/>
      <c r="QVO19" s="171"/>
      <c r="QVP19" s="171"/>
      <c r="QVQ19" s="171"/>
      <c r="QVR19" s="171"/>
      <c r="QVS19" s="171"/>
      <c r="QVT19" s="171"/>
      <c r="QVU19" s="171"/>
      <c r="QVV19" s="171"/>
      <c r="QVW19" s="171"/>
      <c r="QVX19" s="171"/>
      <c r="QVY19" s="171"/>
      <c r="QVZ19" s="171"/>
      <c r="QWA19" s="171"/>
      <c r="QWB19" s="171"/>
      <c r="QWC19" s="171"/>
      <c r="QWD19" s="171"/>
      <c r="QWE19" s="171"/>
      <c r="QWF19" s="171"/>
      <c r="QWG19" s="171"/>
      <c r="QWH19" s="171"/>
      <c r="QWI19" s="171"/>
      <c r="QWJ19" s="171"/>
      <c r="QWK19" s="171"/>
      <c r="QWL19" s="171"/>
      <c r="QWM19" s="171"/>
      <c r="QWN19" s="171"/>
      <c r="QWO19" s="171"/>
      <c r="QWP19" s="171"/>
      <c r="QWQ19" s="171"/>
      <c r="QWR19" s="171"/>
      <c r="QWS19" s="171"/>
      <c r="QWT19" s="171"/>
      <c r="QWU19" s="171"/>
      <c r="QWV19" s="171"/>
      <c r="QWW19" s="171"/>
      <c r="QWX19" s="171"/>
      <c r="QWY19" s="171"/>
      <c r="QWZ19" s="171"/>
      <c r="QXA19" s="171"/>
      <c r="QXB19" s="171"/>
      <c r="QXC19" s="171"/>
      <c r="QXD19" s="171"/>
      <c r="QXE19" s="171"/>
      <c r="QXF19" s="171"/>
      <c r="QXG19" s="171"/>
      <c r="QXH19" s="171"/>
      <c r="QXI19" s="171"/>
      <c r="QXJ19" s="171"/>
      <c r="QXK19" s="171"/>
      <c r="QXL19" s="171"/>
      <c r="QXM19" s="171"/>
      <c r="QXN19" s="171"/>
      <c r="QXO19" s="171"/>
      <c r="QXP19" s="171"/>
      <c r="QXQ19" s="171"/>
      <c r="QXR19" s="171"/>
      <c r="QXS19" s="171"/>
      <c r="QXT19" s="171"/>
      <c r="QXU19" s="171"/>
      <c r="QXV19" s="171"/>
      <c r="QXW19" s="171"/>
      <c r="QXX19" s="171"/>
      <c r="QXY19" s="171"/>
      <c r="QXZ19" s="171"/>
      <c r="QYA19" s="171"/>
      <c r="QYB19" s="171"/>
      <c r="QYC19" s="171"/>
      <c r="QYD19" s="171"/>
      <c r="QYE19" s="171"/>
      <c r="QYF19" s="171"/>
      <c r="QYG19" s="171"/>
      <c r="QYH19" s="171"/>
      <c r="QYI19" s="171"/>
      <c r="QYJ19" s="171"/>
      <c r="QYK19" s="171"/>
      <c r="QYL19" s="171"/>
      <c r="QYM19" s="171"/>
      <c r="QYN19" s="171"/>
      <c r="QYO19" s="171"/>
      <c r="QYP19" s="171"/>
      <c r="QYQ19" s="171"/>
      <c r="QYR19" s="171"/>
      <c r="QYS19" s="171"/>
      <c r="QYT19" s="171"/>
      <c r="QYU19" s="171"/>
      <c r="QYV19" s="171"/>
      <c r="QYW19" s="171"/>
      <c r="QYX19" s="171"/>
      <c r="QYY19" s="171"/>
      <c r="QYZ19" s="171"/>
      <c r="QZA19" s="171"/>
      <c r="QZB19" s="171"/>
      <c r="QZC19" s="171"/>
      <c r="QZD19" s="171"/>
      <c r="QZE19" s="171"/>
      <c r="QZF19" s="171"/>
      <c r="QZG19" s="171"/>
      <c r="QZH19" s="171"/>
      <c r="QZI19" s="171"/>
      <c r="QZJ19" s="171"/>
      <c r="QZK19" s="171"/>
      <c r="QZL19" s="171"/>
      <c r="QZM19" s="171"/>
      <c r="QZN19" s="171"/>
      <c r="QZO19" s="171"/>
      <c r="QZP19" s="171"/>
      <c r="QZQ19" s="171"/>
      <c r="QZR19" s="171"/>
      <c r="QZS19" s="171"/>
      <c r="QZT19" s="171"/>
      <c r="QZU19" s="171"/>
      <c r="QZV19" s="171"/>
      <c r="QZW19" s="171"/>
      <c r="QZX19" s="171"/>
      <c r="QZY19" s="171"/>
      <c r="QZZ19" s="171"/>
      <c r="RAA19" s="171"/>
      <c r="RAB19" s="171"/>
      <c r="RAC19" s="171"/>
      <c r="RAD19" s="171"/>
      <c r="RAE19" s="171"/>
      <c r="RAF19" s="171"/>
      <c r="RAG19" s="171"/>
      <c r="RAH19" s="171"/>
      <c r="RAI19" s="171"/>
      <c r="RAJ19" s="171"/>
      <c r="RAK19" s="171"/>
      <c r="RAL19" s="171"/>
      <c r="RAM19" s="171"/>
      <c r="RAN19" s="171"/>
      <c r="RAO19" s="171"/>
      <c r="RAP19" s="171"/>
      <c r="RAQ19" s="171"/>
      <c r="RAR19" s="171"/>
      <c r="RAS19" s="171"/>
      <c r="RAT19" s="171"/>
      <c r="RAU19" s="171"/>
      <c r="RAV19" s="171"/>
      <c r="RAW19" s="171"/>
      <c r="RAX19" s="171"/>
      <c r="RAY19" s="171"/>
      <c r="RAZ19" s="171"/>
      <c r="RBA19" s="171"/>
      <c r="RBB19" s="171"/>
      <c r="RBC19" s="171"/>
      <c r="RBD19" s="171"/>
      <c r="RBE19" s="171"/>
      <c r="RBF19" s="171"/>
      <c r="RBG19" s="171"/>
      <c r="RBH19" s="171"/>
      <c r="RBI19" s="171"/>
      <c r="RBJ19" s="171"/>
      <c r="RBK19" s="171"/>
      <c r="RBL19" s="171"/>
      <c r="RBM19" s="171"/>
      <c r="RBN19" s="171"/>
      <c r="RBO19" s="171"/>
      <c r="RBP19" s="171"/>
      <c r="RBQ19" s="171"/>
      <c r="RBR19" s="171"/>
      <c r="RBS19" s="171"/>
      <c r="RBT19" s="171"/>
      <c r="RBU19" s="171"/>
      <c r="RBV19" s="171"/>
      <c r="RBW19" s="171"/>
      <c r="RBX19" s="171"/>
      <c r="RBY19" s="171"/>
      <c r="RBZ19" s="171"/>
      <c r="RCA19" s="171"/>
      <c r="RCB19" s="171"/>
      <c r="RCC19" s="171"/>
      <c r="RCD19" s="171"/>
      <c r="RCE19" s="171"/>
      <c r="RCF19" s="171"/>
      <c r="RCG19" s="171"/>
      <c r="RCH19" s="171"/>
      <c r="RCI19" s="171"/>
      <c r="RCJ19" s="171"/>
      <c r="RCK19" s="171"/>
      <c r="RCL19" s="171"/>
      <c r="RCM19" s="171"/>
      <c r="RCN19" s="171"/>
      <c r="RCO19" s="171"/>
      <c r="RCP19" s="171"/>
      <c r="RCQ19" s="171"/>
      <c r="RCR19" s="171"/>
      <c r="RCS19" s="171"/>
      <c r="RCT19" s="171"/>
      <c r="RCU19" s="171"/>
      <c r="RCV19" s="171"/>
      <c r="RCW19" s="171"/>
      <c r="RCX19" s="171"/>
      <c r="RCY19" s="171"/>
      <c r="RCZ19" s="171"/>
      <c r="RDA19" s="171"/>
      <c r="RDB19" s="171"/>
      <c r="RDC19" s="171"/>
      <c r="RDD19" s="171"/>
      <c r="RDE19" s="171"/>
      <c r="RDF19" s="171"/>
      <c r="RDG19" s="171"/>
      <c r="RDH19" s="171"/>
      <c r="RDI19" s="171"/>
      <c r="RDJ19" s="171"/>
      <c r="RDK19" s="171"/>
      <c r="RDL19" s="171"/>
      <c r="RDM19" s="171"/>
      <c r="RDN19" s="171"/>
      <c r="RDO19" s="171"/>
      <c r="RDP19" s="171"/>
      <c r="RDQ19" s="171"/>
      <c r="RDR19" s="171"/>
      <c r="RDS19" s="171"/>
      <c r="RDT19" s="171"/>
      <c r="RDU19" s="171"/>
      <c r="RDV19" s="171"/>
      <c r="RDW19" s="171"/>
      <c r="RDX19" s="171"/>
      <c r="RDY19" s="171"/>
      <c r="RDZ19" s="171"/>
      <c r="REA19" s="171"/>
      <c r="REB19" s="171"/>
      <c r="REC19" s="171"/>
      <c r="RED19" s="171"/>
      <c r="REE19" s="171"/>
      <c r="REF19" s="171"/>
      <c r="REG19" s="171"/>
      <c r="REH19" s="171"/>
      <c r="REI19" s="171"/>
      <c r="REJ19" s="171"/>
      <c r="REK19" s="171"/>
      <c r="REL19" s="171"/>
      <c r="REM19" s="171"/>
      <c r="REN19" s="171"/>
      <c r="REO19" s="171"/>
      <c r="REP19" s="171"/>
      <c r="REQ19" s="171"/>
      <c r="RER19" s="171"/>
      <c r="RES19" s="171"/>
      <c r="RET19" s="171"/>
      <c r="REU19" s="171"/>
      <c r="REV19" s="171"/>
      <c r="REW19" s="171"/>
      <c r="REX19" s="171"/>
      <c r="REY19" s="171"/>
      <c r="REZ19" s="171"/>
      <c r="RFA19" s="171"/>
      <c r="RFB19" s="171"/>
      <c r="RFC19" s="171"/>
      <c r="RFD19" s="171"/>
      <c r="RFE19" s="171"/>
      <c r="RFF19" s="171"/>
      <c r="RFG19" s="171"/>
      <c r="RFH19" s="171"/>
      <c r="RFI19" s="171"/>
      <c r="RFJ19" s="171"/>
      <c r="RFK19" s="171"/>
      <c r="RFL19" s="171"/>
      <c r="RFM19" s="171"/>
      <c r="RFN19" s="171"/>
      <c r="RFO19" s="171"/>
      <c r="RFP19" s="171"/>
      <c r="RFQ19" s="171"/>
      <c r="RFR19" s="171"/>
      <c r="RFS19" s="171"/>
      <c r="RFT19" s="171"/>
      <c r="RFU19" s="171"/>
      <c r="RFV19" s="171"/>
      <c r="RFW19" s="171"/>
      <c r="RFX19" s="171"/>
      <c r="RFY19" s="171"/>
      <c r="RFZ19" s="171"/>
      <c r="RGA19" s="171"/>
      <c r="RGB19" s="171"/>
      <c r="RGC19" s="171"/>
      <c r="RGD19" s="171"/>
      <c r="RGE19" s="171"/>
      <c r="RGF19" s="171"/>
      <c r="RGG19" s="171"/>
      <c r="RGH19" s="171"/>
      <c r="RGI19" s="171"/>
      <c r="RGJ19" s="171"/>
      <c r="RGK19" s="171"/>
      <c r="RGL19" s="171"/>
      <c r="RGM19" s="171"/>
      <c r="RGN19" s="171"/>
      <c r="RGO19" s="171"/>
      <c r="RGP19" s="171"/>
      <c r="RGQ19" s="171"/>
      <c r="RGR19" s="171"/>
      <c r="RGS19" s="171"/>
      <c r="RGT19" s="171"/>
      <c r="RGU19" s="171"/>
      <c r="RGV19" s="171"/>
      <c r="RGW19" s="171"/>
      <c r="RGX19" s="171"/>
      <c r="RGY19" s="171"/>
      <c r="RGZ19" s="171"/>
      <c r="RHA19" s="171"/>
      <c r="RHB19" s="171"/>
      <c r="RHC19" s="171"/>
      <c r="RHD19" s="171"/>
      <c r="RHE19" s="171"/>
      <c r="RHF19" s="171"/>
      <c r="RHG19" s="171"/>
      <c r="RHH19" s="171"/>
      <c r="RHI19" s="171"/>
      <c r="RHJ19" s="171"/>
      <c r="RHK19" s="171"/>
      <c r="RHL19" s="171"/>
      <c r="RHM19" s="171"/>
      <c r="RHN19" s="171"/>
      <c r="RHO19" s="171"/>
      <c r="RHP19" s="171"/>
      <c r="RHQ19" s="171"/>
      <c r="RHR19" s="171"/>
      <c r="RHS19" s="171"/>
      <c r="RHT19" s="171"/>
      <c r="RHU19" s="171"/>
      <c r="RHV19" s="171"/>
      <c r="RHW19" s="171"/>
      <c r="RHX19" s="171"/>
      <c r="RHY19" s="171"/>
      <c r="RHZ19" s="171"/>
      <c r="RIA19" s="171"/>
      <c r="RIB19" s="171"/>
      <c r="RIC19" s="171"/>
      <c r="RID19" s="171"/>
      <c r="RIE19" s="171"/>
      <c r="RIF19" s="171"/>
      <c r="RIG19" s="171"/>
      <c r="RIH19" s="171"/>
      <c r="RII19" s="171"/>
      <c r="RIJ19" s="171"/>
      <c r="RIK19" s="171"/>
      <c r="RIL19" s="171"/>
      <c r="RIM19" s="171"/>
      <c r="RIN19" s="171"/>
      <c r="RIO19" s="171"/>
      <c r="RIP19" s="171"/>
      <c r="RIQ19" s="171"/>
      <c r="RIR19" s="171"/>
      <c r="RIS19" s="171"/>
      <c r="RIT19" s="171"/>
      <c r="RIU19" s="171"/>
      <c r="RIV19" s="171"/>
      <c r="RIW19" s="171"/>
      <c r="RIX19" s="171"/>
      <c r="RIY19" s="171"/>
      <c r="RIZ19" s="171"/>
      <c r="RJA19" s="171"/>
      <c r="RJB19" s="171"/>
      <c r="RJC19" s="171"/>
      <c r="RJD19" s="171"/>
      <c r="RJE19" s="171"/>
      <c r="RJF19" s="171"/>
      <c r="RJG19" s="171"/>
      <c r="RJH19" s="171"/>
      <c r="RJI19" s="171"/>
      <c r="RJJ19" s="171"/>
      <c r="RJK19" s="171"/>
      <c r="RJL19" s="171"/>
      <c r="RJM19" s="171"/>
      <c r="RJN19" s="171"/>
      <c r="RJO19" s="171"/>
      <c r="RJP19" s="171"/>
      <c r="RJQ19" s="171"/>
      <c r="RJR19" s="171"/>
      <c r="RJS19" s="171"/>
      <c r="RJT19" s="171"/>
      <c r="RJU19" s="171"/>
      <c r="RJV19" s="171"/>
      <c r="RJW19" s="171"/>
      <c r="RJX19" s="171"/>
      <c r="RJY19" s="171"/>
      <c r="RJZ19" s="171"/>
      <c r="RKA19" s="171"/>
      <c r="RKB19" s="171"/>
      <c r="RKC19" s="171"/>
      <c r="RKD19" s="171"/>
      <c r="RKE19" s="171"/>
      <c r="RKF19" s="171"/>
      <c r="RKG19" s="171"/>
      <c r="RKH19" s="171"/>
      <c r="RKI19" s="171"/>
      <c r="RKJ19" s="171"/>
      <c r="RKK19" s="171"/>
      <c r="RKL19" s="171"/>
      <c r="RKM19" s="171"/>
      <c r="RKN19" s="171"/>
      <c r="RKO19" s="171"/>
      <c r="RKP19" s="171"/>
      <c r="RKQ19" s="171"/>
      <c r="RKR19" s="171"/>
      <c r="RKS19" s="171"/>
      <c r="RKT19" s="171"/>
      <c r="RKU19" s="171"/>
      <c r="RKV19" s="171"/>
      <c r="RKW19" s="171"/>
      <c r="RKX19" s="171"/>
      <c r="RKY19" s="171"/>
      <c r="RKZ19" s="171"/>
      <c r="RLA19" s="171"/>
      <c r="RLB19" s="171"/>
      <c r="RLC19" s="171"/>
      <c r="RLD19" s="171"/>
      <c r="RLE19" s="171"/>
      <c r="RLF19" s="171"/>
      <c r="RLG19" s="171"/>
      <c r="RLH19" s="171"/>
      <c r="RLI19" s="171"/>
      <c r="RLJ19" s="171"/>
      <c r="RLK19" s="171"/>
      <c r="RLL19" s="171"/>
      <c r="RLM19" s="171"/>
      <c r="RLN19" s="171"/>
      <c r="RLO19" s="171"/>
      <c r="RLP19" s="171"/>
      <c r="RLQ19" s="171"/>
      <c r="RLR19" s="171"/>
      <c r="RLS19" s="171"/>
      <c r="RLT19" s="171"/>
      <c r="RLU19" s="171"/>
      <c r="RLV19" s="171"/>
      <c r="RLW19" s="171"/>
      <c r="RLX19" s="171"/>
      <c r="RLY19" s="171"/>
      <c r="RLZ19" s="171"/>
      <c r="RMA19" s="171"/>
      <c r="RMB19" s="171"/>
      <c r="RMC19" s="171"/>
      <c r="RMD19" s="171"/>
      <c r="RME19" s="171"/>
      <c r="RMF19" s="171"/>
      <c r="RMG19" s="171"/>
      <c r="RMH19" s="171"/>
      <c r="RMI19" s="171"/>
      <c r="RMJ19" s="171"/>
      <c r="RMK19" s="171"/>
      <c r="RML19" s="171"/>
      <c r="RMM19" s="171"/>
      <c r="RMN19" s="171"/>
      <c r="RMO19" s="171"/>
      <c r="RMP19" s="171"/>
      <c r="RMQ19" s="171"/>
      <c r="RMR19" s="171"/>
      <c r="RMS19" s="171"/>
      <c r="RMT19" s="171"/>
      <c r="RMU19" s="171"/>
      <c r="RMV19" s="171"/>
      <c r="RMW19" s="171"/>
      <c r="RMX19" s="171"/>
      <c r="RMY19" s="171"/>
      <c r="RMZ19" s="171"/>
      <c r="RNA19" s="171"/>
      <c r="RNB19" s="171"/>
      <c r="RNC19" s="171"/>
      <c r="RND19" s="171"/>
      <c r="RNE19" s="171"/>
      <c r="RNF19" s="171"/>
      <c r="RNG19" s="171"/>
      <c r="RNH19" s="171"/>
      <c r="RNI19" s="171"/>
      <c r="RNJ19" s="171"/>
      <c r="RNK19" s="171"/>
      <c r="RNL19" s="171"/>
      <c r="RNM19" s="171"/>
      <c r="RNN19" s="171"/>
      <c r="RNO19" s="171"/>
      <c r="RNP19" s="171"/>
      <c r="RNQ19" s="171"/>
      <c r="RNR19" s="171"/>
      <c r="RNS19" s="171"/>
      <c r="RNT19" s="171"/>
      <c r="RNU19" s="171"/>
      <c r="RNV19" s="171"/>
      <c r="RNW19" s="171"/>
      <c r="RNX19" s="171"/>
      <c r="RNY19" s="171"/>
      <c r="RNZ19" s="171"/>
      <c r="ROA19" s="171"/>
      <c r="ROB19" s="171"/>
      <c r="ROC19" s="171"/>
      <c r="ROD19" s="171"/>
      <c r="ROE19" s="171"/>
      <c r="ROF19" s="171"/>
      <c r="ROG19" s="171"/>
      <c r="ROH19" s="171"/>
      <c r="ROI19" s="171"/>
      <c r="ROJ19" s="171"/>
      <c r="ROK19" s="171"/>
      <c r="ROL19" s="171"/>
      <c r="ROM19" s="171"/>
      <c r="RON19" s="171"/>
      <c r="ROO19" s="171"/>
      <c r="ROP19" s="171"/>
      <c r="ROQ19" s="171"/>
      <c r="ROR19" s="171"/>
      <c r="ROS19" s="171"/>
      <c r="ROT19" s="171"/>
      <c r="ROU19" s="171"/>
      <c r="ROV19" s="171"/>
      <c r="ROW19" s="171"/>
      <c r="ROX19" s="171"/>
      <c r="ROY19" s="171"/>
      <c r="ROZ19" s="171"/>
      <c r="RPA19" s="171"/>
      <c r="RPB19" s="171"/>
      <c r="RPC19" s="171"/>
      <c r="RPD19" s="171"/>
      <c r="RPE19" s="171"/>
      <c r="RPF19" s="171"/>
      <c r="RPG19" s="171"/>
      <c r="RPH19" s="171"/>
      <c r="RPI19" s="171"/>
      <c r="RPJ19" s="171"/>
      <c r="RPK19" s="171"/>
      <c r="RPL19" s="171"/>
      <c r="RPM19" s="171"/>
      <c r="RPN19" s="171"/>
      <c r="RPO19" s="171"/>
      <c r="RPP19" s="171"/>
      <c r="RPQ19" s="171"/>
      <c r="RPR19" s="171"/>
      <c r="RPS19" s="171"/>
      <c r="RPT19" s="171"/>
      <c r="RPU19" s="171"/>
      <c r="RPV19" s="171"/>
      <c r="RPW19" s="171"/>
      <c r="RPX19" s="171"/>
      <c r="RPY19" s="171"/>
      <c r="RPZ19" s="171"/>
      <c r="RQA19" s="171"/>
      <c r="RQB19" s="171"/>
      <c r="RQC19" s="171"/>
      <c r="RQD19" s="171"/>
      <c r="RQE19" s="171"/>
      <c r="RQF19" s="171"/>
      <c r="RQG19" s="171"/>
      <c r="RQH19" s="171"/>
      <c r="RQI19" s="171"/>
      <c r="RQJ19" s="171"/>
      <c r="RQK19" s="171"/>
      <c r="RQL19" s="171"/>
      <c r="RQM19" s="171"/>
      <c r="RQN19" s="171"/>
      <c r="RQO19" s="171"/>
      <c r="RQP19" s="171"/>
      <c r="RQQ19" s="171"/>
      <c r="RQR19" s="171"/>
      <c r="RQS19" s="171"/>
      <c r="RQT19" s="171"/>
      <c r="RQU19" s="171"/>
      <c r="RQV19" s="171"/>
      <c r="RQW19" s="171"/>
      <c r="RQX19" s="171"/>
      <c r="RQY19" s="171"/>
      <c r="RQZ19" s="171"/>
      <c r="RRA19" s="171"/>
      <c r="RRB19" s="171"/>
      <c r="RRC19" s="171"/>
      <c r="RRD19" s="171"/>
      <c r="RRE19" s="171"/>
      <c r="RRF19" s="171"/>
      <c r="RRG19" s="171"/>
      <c r="RRH19" s="171"/>
      <c r="RRI19" s="171"/>
      <c r="RRJ19" s="171"/>
      <c r="RRK19" s="171"/>
      <c r="RRL19" s="171"/>
      <c r="RRM19" s="171"/>
      <c r="RRN19" s="171"/>
      <c r="RRO19" s="171"/>
      <c r="RRP19" s="171"/>
      <c r="RRQ19" s="171"/>
      <c r="RRR19" s="171"/>
      <c r="RRS19" s="171"/>
      <c r="RRT19" s="171"/>
      <c r="RRU19" s="171"/>
      <c r="RRV19" s="171"/>
      <c r="RRW19" s="171"/>
      <c r="RRX19" s="171"/>
      <c r="RRY19" s="171"/>
      <c r="RRZ19" s="171"/>
      <c r="RSA19" s="171"/>
      <c r="RSB19" s="171"/>
      <c r="RSC19" s="171"/>
      <c r="RSD19" s="171"/>
      <c r="RSE19" s="171"/>
      <c r="RSF19" s="171"/>
      <c r="RSG19" s="171"/>
      <c r="RSH19" s="171"/>
      <c r="RSI19" s="171"/>
      <c r="RSJ19" s="171"/>
      <c r="RSK19" s="171"/>
      <c r="RSL19" s="171"/>
      <c r="RSM19" s="171"/>
      <c r="RSN19" s="171"/>
      <c r="RSO19" s="171"/>
      <c r="RSP19" s="171"/>
      <c r="RSQ19" s="171"/>
      <c r="RSR19" s="171"/>
      <c r="RSS19" s="171"/>
      <c r="RST19" s="171"/>
      <c r="RSU19" s="171"/>
      <c r="RSV19" s="171"/>
      <c r="RSW19" s="171"/>
      <c r="RSX19" s="171"/>
      <c r="RSY19" s="171"/>
      <c r="RSZ19" s="171"/>
      <c r="RTA19" s="171"/>
      <c r="RTB19" s="171"/>
      <c r="RTC19" s="171"/>
      <c r="RTD19" s="171"/>
      <c r="RTE19" s="171"/>
      <c r="RTF19" s="171"/>
      <c r="RTG19" s="171"/>
      <c r="RTH19" s="171"/>
      <c r="RTI19" s="171"/>
      <c r="RTJ19" s="171"/>
      <c r="RTK19" s="171"/>
      <c r="RTL19" s="171"/>
      <c r="RTM19" s="171"/>
      <c r="RTN19" s="171"/>
      <c r="RTO19" s="171"/>
      <c r="RTP19" s="171"/>
      <c r="RTQ19" s="171"/>
      <c r="RTR19" s="171"/>
      <c r="RTS19" s="171"/>
      <c r="RTT19" s="171"/>
      <c r="RTU19" s="171"/>
      <c r="RTV19" s="171"/>
      <c r="RTW19" s="171"/>
      <c r="RTX19" s="171"/>
      <c r="RTY19" s="171"/>
      <c r="RTZ19" s="171"/>
      <c r="RUA19" s="171"/>
      <c r="RUB19" s="171"/>
      <c r="RUC19" s="171"/>
      <c r="RUD19" s="171"/>
      <c r="RUE19" s="171"/>
      <c r="RUF19" s="171"/>
      <c r="RUG19" s="171"/>
      <c r="RUH19" s="171"/>
      <c r="RUI19" s="171"/>
      <c r="RUJ19" s="171"/>
      <c r="RUK19" s="171"/>
      <c r="RUL19" s="171"/>
      <c r="RUM19" s="171"/>
      <c r="RUN19" s="171"/>
      <c r="RUO19" s="171"/>
      <c r="RUP19" s="171"/>
      <c r="RUQ19" s="171"/>
      <c r="RUR19" s="171"/>
      <c r="RUS19" s="171"/>
      <c r="RUT19" s="171"/>
      <c r="RUU19" s="171"/>
      <c r="RUV19" s="171"/>
      <c r="RUW19" s="171"/>
      <c r="RUX19" s="171"/>
      <c r="RUY19" s="171"/>
      <c r="RUZ19" s="171"/>
      <c r="RVA19" s="171"/>
      <c r="RVB19" s="171"/>
      <c r="RVC19" s="171"/>
      <c r="RVD19" s="171"/>
      <c r="RVE19" s="171"/>
      <c r="RVF19" s="171"/>
      <c r="RVG19" s="171"/>
      <c r="RVH19" s="171"/>
      <c r="RVI19" s="171"/>
      <c r="RVJ19" s="171"/>
      <c r="RVK19" s="171"/>
      <c r="RVL19" s="171"/>
      <c r="RVM19" s="171"/>
      <c r="RVN19" s="171"/>
      <c r="RVO19" s="171"/>
      <c r="RVP19" s="171"/>
      <c r="RVQ19" s="171"/>
      <c r="RVR19" s="171"/>
      <c r="RVS19" s="171"/>
      <c r="RVT19" s="171"/>
      <c r="RVU19" s="171"/>
      <c r="RVV19" s="171"/>
      <c r="RVW19" s="171"/>
      <c r="RVX19" s="171"/>
      <c r="RVY19" s="171"/>
      <c r="RVZ19" s="171"/>
      <c r="RWA19" s="171"/>
      <c r="RWB19" s="171"/>
      <c r="RWC19" s="171"/>
      <c r="RWD19" s="171"/>
      <c r="RWE19" s="171"/>
      <c r="RWF19" s="171"/>
      <c r="RWG19" s="171"/>
      <c r="RWH19" s="171"/>
      <c r="RWI19" s="171"/>
      <c r="RWJ19" s="171"/>
      <c r="RWK19" s="171"/>
      <c r="RWL19" s="171"/>
      <c r="RWM19" s="171"/>
      <c r="RWN19" s="171"/>
      <c r="RWO19" s="171"/>
      <c r="RWP19" s="171"/>
      <c r="RWQ19" s="171"/>
      <c r="RWR19" s="171"/>
      <c r="RWS19" s="171"/>
      <c r="RWT19" s="171"/>
      <c r="RWU19" s="171"/>
      <c r="RWV19" s="171"/>
      <c r="RWW19" s="171"/>
      <c r="RWX19" s="171"/>
      <c r="RWY19" s="171"/>
      <c r="RWZ19" s="171"/>
      <c r="RXA19" s="171"/>
      <c r="RXB19" s="171"/>
      <c r="RXC19" s="171"/>
      <c r="RXD19" s="171"/>
      <c r="RXE19" s="171"/>
      <c r="RXF19" s="171"/>
      <c r="RXG19" s="171"/>
      <c r="RXH19" s="171"/>
      <c r="RXI19" s="171"/>
      <c r="RXJ19" s="171"/>
      <c r="RXK19" s="171"/>
      <c r="RXL19" s="171"/>
      <c r="RXM19" s="171"/>
      <c r="RXN19" s="171"/>
      <c r="RXO19" s="171"/>
      <c r="RXP19" s="171"/>
      <c r="RXQ19" s="171"/>
      <c r="RXR19" s="171"/>
      <c r="RXS19" s="171"/>
      <c r="RXT19" s="171"/>
      <c r="RXU19" s="171"/>
      <c r="RXV19" s="171"/>
      <c r="RXW19" s="171"/>
      <c r="RXX19" s="171"/>
      <c r="RXY19" s="171"/>
      <c r="RXZ19" s="171"/>
      <c r="RYA19" s="171"/>
      <c r="RYB19" s="171"/>
      <c r="RYC19" s="171"/>
      <c r="RYD19" s="171"/>
      <c r="RYE19" s="171"/>
      <c r="RYF19" s="171"/>
      <c r="RYG19" s="171"/>
      <c r="RYH19" s="171"/>
      <c r="RYI19" s="171"/>
      <c r="RYJ19" s="171"/>
      <c r="RYK19" s="171"/>
      <c r="RYL19" s="171"/>
      <c r="RYM19" s="171"/>
      <c r="RYN19" s="171"/>
      <c r="RYO19" s="171"/>
      <c r="RYP19" s="171"/>
      <c r="RYQ19" s="171"/>
      <c r="RYR19" s="171"/>
      <c r="RYS19" s="171"/>
      <c r="RYT19" s="171"/>
      <c r="RYU19" s="171"/>
      <c r="RYV19" s="171"/>
      <c r="RYW19" s="171"/>
      <c r="RYX19" s="171"/>
      <c r="RYY19" s="171"/>
      <c r="RYZ19" s="171"/>
      <c r="RZA19" s="171"/>
      <c r="RZB19" s="171"/>
      <c r="RZC19" s="171"/>
      <c r="RZD19" s="171"/>
      <c r="RZE19" s="171"/>
      <c r="RZF19" s="171"/>
      <c r="RZG19" s="171"/>
      <c r="RZH19" s="171"/>
      <c r="RZI19" s="171"/>
      <c r="RZJ19" s="171"/>
      <c r="RZK19" s="171"/>
      <c r="RZL19" s="171"/>
      <c r="RZM19" s="171"/>
      <c r="RZN19" s="171"/>
      <c r="RZO19" s="171"/>
      <c r="RZP19" s="171"/>
      <c r="RZQ19" s="171"/>
      <c r="RZR19" s="171"/>
      <c r="RZS19" s="171"/>
      <c r="RZT19" s="171"/>
      <c r="RZU19" s="171"/>
      <c r="RZV19" s="171"/>
      <c r="RZW19" s="171"/>
      <c r="RZX19" s="171"/>
      <c r="RZY19" s="171"/>
      <c r="RZZ19" s="171"/>
      <c r="SAA19" s="171"/>
      <c r="SAB19" s="171"/>
      <c r="SAC19" s="171"/>
      <c r="SAD19" s="171"/>
      <c r="SAE19" s="171"/>
      <c r="SAF19" s="171"/>
      <c r="SAG19" s="171"/>
      <c r="SAH19" s="171"/>
      <c r="SAI19" s="171"/>
      <c r="SAJ19" s="171"/>
      <c r="SAK19" s="171"/>
      <c r="SAL19" s="171"/>
      <c r="SAM19" s="171"/>
      <c r="SAN19" s="171"/>
      <c r="SAO19" s="171"/>
      <c r="SAP19" s="171"/>
      <c r="SAQ19" s="171"/>
      <c r="SAR19" s="171"/>
      <c r="SAS19" s="171"/>
      <c r="SAT19" s="171"/>
      <c r="SAU19" s="171"/>
      <c r="SAV19" s="171"/>
      <c r="SAW19" s="171"/>
      <c r="SAX19" s="171"/>
      <c r="SAY19" s="171"/>
      <c r="SAZ19" s="171"/>
      <c r="SBA19" s="171"/>
      <c r="SBB19" s="171"/>
      <c r="SBC19" s="171"/>
      <c r="SBD19" s="171"/>
      <c r="SBE19" s="171"/>
      <c r="SBF19" s="171"/>
      <c r="SBG19" s="171"/>
      <c r="SBH19" s="171"/>
      <c r="SBI19" s="171"/>
      <c r="SBJ19" s="171"/>
      <c r="SBK19" s="171"/>
      <c r="SBL19" s="171"/>
      <c r="SBM19" s="171"/>
      <c r="SBN19" s="171"/>
      <c r="SBO19" s="171"/>
      <c r="SBP19" s="171"/>
      <c r="SBQ19" s="171"/>
      <c r="SBR19" s="171"/>
      <c r="SBS19" s="171"/>
      <c r="SBT19" s="171"/>
      <c r="SBU19" s="171"/>
      <c r="SBV19" s="171"/>
      <c r="SBW19" s="171"/>
      <c r="SBX19" s="171"/>
      <c r="SBY19" s="171"/>
      <c r="SBZ19" s="171"/>
      <c r="SCA19" s="171"/>
      <c r="SCB19" s="171"/>
      <c r="SCC19" s="171"/>
      <c r="SCD19" s="171"/>
      <c r="SCE19" s="171"/>
      <c r="SCF19" s="171"/>
      <c r="SCG19" s="171"/>
      <c r="SCH19" s="171"/>
      <c r="SCI19" s="171"/>
      <c r="SCJ19" s="171"/>
      <c r="SCK19" s="171"/>
      <c r="SCL19" s="171"/>
      <c r="SCM19" s="171"/>
      <c r="SCN19" s="171"/>
      <c r="SCO19" s="171"/>
      <c r="SCP19" s="171"/>
      <c r="SCQ19" s="171"/>
      <c r="SCR19" s="171"/>
      <c r="SCS19" s="171"/>
      <c r="SCT19" s="171"/>
      <c r="SCU19" s="171"/>
      <c r="SCV19" s="171"/>
      <c r="SCW19" s="171"/>
      <c r="SCX19" s="171"/>
      <c r="SCY19" s="171"/>
      <c r="SCZ19" s="171"/>
      <c r="SDA19" s="171"/>
      <c r="SDB19" s="171"/>
      <c r="SDC19" s="171"/>
      <c r="SDD19" s="171"/>
      <c r="SDE19" s="171"/>
      <c r="SDF19" s="171"/>
      <c r="SDG19" s="171"/>
      <c r="SDH19" s="171"/>
      <c r="SDI19" s="171"/>
      <c r="SDJ19" s="171"/>
      <c r="SDK19" s="171"/>
      <c r="SDL19" s="171"/>
      <c r="SDM19" s="171"/>
      <c r="SDN19" s="171"/>
      <c r="SDO19" s="171"/>
      <c r="SDP19" s="171"/>
      <c r="SDQ19" s="171"/>
      <c r="SDR19" s="171"/>
      <c r="SDS19" s="171"/>
      <c r="SDT19" s="171"/>
      <c r="SDU19" s="171"/>
      <c r="SDV19" s="171"/>
      <c r="SDW19" s="171"/>
      <c r="SDX19" s="171"/>
      <c r="SDY19" s="171"/>
      <c r="SDZ19" s="171"/>
      <c r="SEA19" s="171"/>
      <c r="SEB19" s="171"/>
      <c r="SEC19" s="171"/>
      <c r="SED19" s="171"/>
      <c r="SEE19" s="171"/>
      <c r="SEF19" s="171"/>
      <c r="SEG19" s="171"/>
      <c r="SEH19" s="171"/>
      <c r="SEI19" s="171"/>
      <c r="SEJ19" s="171"/>
      <c r="SEK19" s="171"/>
      <c r="SEL19" s="171"/>
      <c r="SEM19" s="171"/>
      <c r="SEN19" s="171"/>
      <c r="SEO19" s="171"/>
      <c r="SEP19" s="171"/>
      <c r="SEQ19" s="171"/>
      <c r="SER19" s="171"/>
      <c r="SES19" s="171"/>
      <c r="SET19" s="171"/>
      <c r="SEU19" s="171"/>
      <c r="SEV19" s="171"/>
      <c r="SEW19" s="171"/>
      <c r="SEX19" s="171"/>
      <c r="SEY19" s="171"/>
      <c r="SEZ19" s="171"/>
      <c r="SFA19" s="171"/>
      <c r="SFB19" s="171"/>
      <c r="SFC19" s="171"/>
      <c r="SFD19" s="171"/>
      <c r="SFE19" s="171"/>
      <c r="SFF19" s="171"/>
      <c r="SFG19" s="171"/>
      <c r="SFH19" s="171"/>
      <c r="SFI19" s="171"/>
      <c r="SFJ19" s="171"/>
      <c r="SFK19" s="171"/>
      <c r="SFL19" s="171"/>
      <c r="SFM19" s="171"/>
      <c r="SFN19" s="171"/>
      <c r="SFO19" s="171"/>
      <c r="SFP19" s="171"/>
      <c r="SFQ19" s="171"/>
      <c r="SFR19" s="171"/>
      <c r="SFS19" s="171"/>
      <c r="SFT19" s="171"/>
      <c r="SFU19" s="171"/>
      <c r="SFV19" s="171"/>
      <c r="SFW19" s="171"/>
      <c r="SFX19" s="171"/>
      <c r="SFY19" s="171"/>
      <c r="SFZ19" s="171"/>
      <c r="SGA19" s="171"/>
      <c r="SGB19" s="171"/>
      <c r="SGC19" s="171"/>
      <c r="SGD19" s="171"/>
      <c r="SGE19" s="171"/>
      <c r="SGF19" s="171"/>
      <c r="SGG19" s="171"/>
      <c r="SGH19" s="171"/>
      <c r="SGI19" s="171"/>
      <c r="SGJ19" s="171"/>
      <c r="SGK19" s="171"/>
      <c r="SGL19" s="171"/>
      <c r="SGM19" s="171"/>
      <c r="SGN19" s="171"/>
      <c r="SGO19" s="171"/>
      <c r="SGP19" s="171"/>
      <c r="SGQ19" s="171"/>
      <c r="SGR19" s="171"/>
      <c r="SGS19" s="171"/>
      <c r="SGT19" s="171"/>
      <c r="SGU19" s="171"/>
      <c r="SGV19" s="171"/>
      <c r="SGW19" s="171"/>
      <c r="SGX19" s="171"/>
      <c r="SGY19" s="171"/>
      <c r="SGZ19" s="171"/>
      <c r="SHA19" s="171"/>
      <c r="SHB19" s="171"/>
      <c r="SHC19" s="171"/>
      <c r="SHD19" s="171"/>
      <c r="SHE19" s="171"/>
      <c r="SHF19" s="171"/>
      <c r="SHG19" s="171"/>
      <c r="SHH19" s="171"/>
      <c r="SHI19" s="171"/>
      <c r="SHJ19" s="171"/>
      <c r="SHK19" s="171"/>
      <c r="SHL19" s="171"/>
      <c r="SHM19" s="171"/>
      <c r="SHN19" s="171"/>
      <c r="SHO19" s="171"/>
      <c r="SHP19" s="171"/>
      <c r="SHQ19" s="171"/>
      <c r="SHR19" s="171"/>
      <c r="SHS19" s="171"/>
      <c r="SHT19" s="171"/>
      <c r="SHU19" s="171"/>
      <c r="SHV19" s="171"/>
      <c r="SHW19" s="171"/>
      <c r="SHX19" s="171"/>
      <c r="SHY19" s="171"/>
      <c r="SHZ19" s="171"/>
      <c r="SIA19" s="171"/>
      <c r="SIB19" s="171"/>
      <c r="SIC19" s="171"/>
      <c r="SID19" s="171"/>
      <c r="SIE19" s="171"/>
      <c r="SIF19" s="171"/>
      <c r="SIG19" s="171"/>
      <c r="SIH19" s="171"/>
      <c r="SII19" s="171"/>
      <c r="SIJ19" s="171"/>
      <c r="SIK19" s="171"/>
      <c r="SIL19" s="171"/>
      <c r="SIM19" s="171"/>
      <c r="SIN19" s="171"/>
      <c r="SIO19" s="171"/>
      <c r="SIP19" s="171"/>
      <c r="SIQ19" s="171"/>
      <c r="SIR19" s="171"/>
      <c r="SIS19" s="171"/>
      <c r="SIT19" s="171"/>
      <c r="SIU19" s="171"/>
      <c r="SIV19" s="171"/>
      <c r="SIW19" s="171"/>
      <c r="SIX19" s="171"/>
      <c r="SIY19" s="171"/>
      <c r="SIZ19" s="171"/>
      <c r="SJA19" s="171"/>
      <c r="SJB19" s="171"/>
      <c r="SJC19" s="171"/>
      <c r="SJD19" s="171"/>
      <c r="SJE19" s="171"/>
      <c r="SJF19" s="171"/>
      <c r="SJG19" s="171"/>
      <c r="SJH19" s="171"/>
      <c r="SJI19" s="171"/>
      <c r="SJJ19" s="171"/>
      <c r="SJK19" s="171"/>
      <c r="SJL19" s="171"/>
      <c r="SJM19" s="171"/>
      <c r="SJN19" s="171"/>
      <c r="SJO19" s="171"/>
      <c r="SJP19" s="171"/>
      <c r="SJQ19" s="171"/>
      <c r="SJR19" s="171"/>
      <c r="SJS19" s="171"/>
      <c r="SJT19" s="171"/>
      <c r="SJU19" s="171"/>
      <c r="SJV19" s="171"/>
      <c r="SJW19" s="171"/>
      <c r="SJX19" s="171"/>
      <c r="SJY19" s="171"/>
      <c r="SJZ19" s="171"/>
      <c r="SKA19" s="171"/>
      <c r="SKB19" s="171"/>
      <c r="SKC19" s="171"/>
      <c r="SKD19" s="171"/>
      <c r="SKE19" s="171"/>
      <c r="SKF19" s="171"/>
      <c r="SKG19" s="171"/>
      <c r="SKH19" s="171"/>
      <c r="SKI19" s="171"/>
      <c r="SKJ19" s="171"/>
      <c r="SKK19" s="171"/>
      <c r="SKL19" s="171"/>
      <c r="SKM19" s="171"/>
      <c r="SKN19" s="171"/>
      <c r="SKO19" s="171"/>
      <c r="SKP19" s="171"/>
      <c r="SKQ19" s="171"/>
      <c r="SKR19" s="171"/>
      <c r="SKS19" s="171"/>
      <c r="SKT19" s="171"/>
      <c r="SKU19" s="171"/>
      <c r="SKV19" s="171"/>
      <c r="SKW19" s="171"/>
      <c r="SKX19" s="171"/>
      <c r="SKY19" s="171"/>
      <c r="SKZ19" s="171"/>
      <c r="SLA19" s="171"/>
      <c r="SLB19" s="171"/>
      <c r="SLC19" s="171"/>
      <c r="SLD19" s="171"/>
      <c r="SLE19" s="171"/>
      <c r="SLF19" s="171"/>
      <c r="SLG19" s="171"/>
      <c r="SLH19" s="171"/>
      <c r="SLI19" s="171"/>
      <c r="SLJ19" s="171"/>
      <c r="SLK19" s="171"/>
      <c r="SLL19" s="171"/>
      <c r="SLM19" s="171"/>
      <c r="SLN19" s="171"/>
      <c r="SLO19" s="171"/>
      <c r="SLP19" s="171"/>
      <c r="SLQ19" s="171"/>
      <c r="SLR19" s="171"/>
      <c r="SLS19" s="171"/>
      <c r="SLT19" s="171"/>
      <c r="SLU19" s="171"/>
      <c r="SLV19" s="171"/>
      <c r="SLW19" s="171"/>
      <c r="SLX19" s="171"/>
      <c r="SLY19" s="171"/>
      <c r="SLZ19" s="171"/>
      <c r="SMA19" s="171"/>
      <c r="SMB19" s="171"/>
      <c r="SMC19" s="171"/>
      <c r="SMD19" s="171"/>
      <c r="SME19" s="171"/>
      <c r="SMF19" s="171"/>
      <c r="SMG19" s="171"/>
      <c r="SMH19" s="171"/>
      <c r="SMI19" s="171"/>
      <c r="SMJ19" s="171"/>
      <c r="SMK19" s="171"/>
      <c r="SML19" s="171"/>
      <c r="SMM19" s="171"/>
      <c r="SMN19" s="171"/>
      <c r="SMO19" s="171"/>
      <c r="SMP19" s="171"/>
      <c r="SMQ19" s="171"/>
      <c r="SMR19" s="171"/>
      <c r="SMS19" s="171"/>
      <c r="SMT19" s="171"/>
      <c r="SMU19" s="171"/>
      <c r="SMV19" s="171"/>
      <c r="SMW19" s="171"/>
      <c r="SMX19" s="171"/>
      <c r="SMY19" s="171"/>
      <c r="SMZ19" s="171"/>
      <c r="SNA19" s="171"/>
      <c r="SNB19" s="171"/>
      <c r="SNC19" s="171"/>
      <c r="SND19" s="171"/>
      <c r="SNE19" s="171"/>
      <c r="SNF19" s="171"/>
      <c r="SNG19" s="171"/>
      <c r="SNH19" s="171"/>
      <c r="SNI19" s="171"/>
      <c r="SNJ19" s="171"/>
      <c r="SNK19" s="171"/>
      <c r="SNL19" s="171"/>
      <c r="SNM19" s="171"/>
      <c r="SNN19" s="171"/>
      <c r="SNO19" s="171"/>
      <c r="SNP19" s="171"/>
      <c r="SNQ19" s="171"/>
      <c r="SNR19" s="171"/>
      <c r="SNS19" s="171"/>
      <c r="SNT19" s="171"/>
      <c r="SNU19" s="171"/>
      <c r="SNV19" s="171"/>
      <c r="SNW19" s="171"/>
      <c r="SNX19" s="171"/>
      <c r="SNY19" s="171"/>
      <c r="SNZ19" s="171"/>
      <c r="SOA19" s="171"/>
      <c r="SOB19" s="171"/>
      <c r="SOC19" s="171"/>
      <c r="SOD19" s="171"/>
      <c r="SOE19" s="171"/>
      <c r="SOF19" s="171"/>
      <c r="SOG19" s="171"/>
      <c r="SOH19" s="171"/>
      <c r="SOI19" s="171"/>
      <c r="SOJ19" s="171"/>
      <c r="SOK19" s="171"/>
      <c r="SOL19" s="171"/>
      <c r="SOM19" s="171"/>
      <c r="SON19" s="171"/>
      <c r="SOO19" s="171"/>
      <c r="SOP19" s="171"/>
      <c r="SOQ19" s="171"/>
      <c r="SOR19" s="171"/>
      <c r="SOS19" s="171"/>
      <c r="SOT19" s="171"/>
      <c r="SOU19" s="171"/>
      <c r="SOV19" s="171"/>
      <c r="SOW19" s="171"/>
      <c r="SOX19" s="171"/>
      <c r="SOY19" s="171"/>
      <c r="SOZ19" s="171"/>
      <c r="SPA19" s="171"/>
      <c r="SPB19" s="171"/>
      <c r="SPC19" s="171"/>
      <c r="SPD19" s="171"/>
      <c r="SPE19" s="171"/>
      <c r="SPF19" s="171"/>
      <c r="SPG19" s="171"/>
      <c r="SPH19" s="171"/>
      <c r="SPI19" s="171"/>
      <c r="SPJ19" s="171"/>
      <c r="SPK19" s="171"/>
      <c r="SPL19" s="171"/>
      <c r="SPM19" s="171"/>
      <c r="SPN19" s="171"/>
      <c r="SPO19" s="171"/>
      <c r="SPP19" s="171"/>
      <c r="SPQ19" s="171"/>
      <c r="SPR19" s="171"/>
      <c r="SPS19" s="171"/>
      <c r="SPT19" s="171"/>
      <c r="SPU19" s="171"/>
      <c r="SPV19" s="171"/>
      <c r="SPW19" s="171"/>
      <c r="SPX19" s="171"/>
      <c r="SPY19" s="171"/>
      <c r="SPZ19" s="171"/>
      <c r="SQA19" s="171"/>
      <c r="SQB19" s="171"/>
      <c r="SQC19" s="171"/>
      <c r="SQD19" s="171"/>
      <c r="SQE19" s="171"/>
      <c r="SQF19" s="171"/>
      <c r="SQG19" s="171"/>
      <c r="SQH19" s="171"/>
      <c r="SQI19" s="171"/>
      <c r="SQJ19" s="171"/>
      <c r="SQK19" s="171"/>
      <c r="SQL19" s="171"/>
      <c r="SQM19" s="171"/>
      <c r="SQN19" s="171"/>
      <c r="SQO19" s="171"/>
      <c r="SQP19" s="171"/>
      <c r="SQQ19" s="171"/>
      <c r="SQR19" s="171"/>
      <c r="SQS19" s="171"/>
      <c r="SQT19" s="171"/>
      <c r="SQU19" s="171"/>
      <c r="SQV19" s="171"/>
      <c r="SQW19" s="171"/>
      <c r="SQX19" s="171"/>
      <c r="SQY19" s="171"/>
      <c r="SQZ19" s="171"/>
      <c r="SRA19" s="171"/>
      <c r="SRB19" s="171"/>
      <c r="SRC19" s="171"/>
      <c r="SRD19" s="171"/>
      <c r="SRE19" s="171"/>
      <c r="SRF19" s="171"/>
      <c r="SRG19" s="171"/>
      <c r="SRH19" s="171"/>
      <c r="SRI19" s="171"/>
      <c r="SRJ19" s="171"/>
      <c r="SRK19" s="171"/>
      <c r="SRL19" s="171"/>
      <c r="SRM19" s="171"/>
      <c r="SRN19" s="171"/>
      <c r="SRO19" s="171"/>
      <c r="SRP19" s="171"/>
      <c r="SRQ19" s="171"/>
      <c r="SRR19" s="171"/>
      <c r="SRS19" s="171"/>
      <c r="SRT19" s="171"/>
      <c r="SRU19" s="171"/>
      <c r="SRV19" s="171"/>
      <c r="SRW19" s="171"/>
      <c r="SRX19" s="171"/>
      <c r="SRY19" s="171"/>
      <c r="SRZ19" s="171"/>
      <c r="SSA19" s="171"/>
      <c r="SSB19" s="171"/>
      <c r="SSC19" s="171"/>
      <c r="SSD19" s="171"/>
      <c r="SSE19" s="171"/>
      <c r="SSF19" s="171"/>
      <c r="SSG19" s="171"/>
      <c r="SSH19" s="171"/>
      <c r="SSI19" s="171"/>
      <c r="SSJ19" s="171"/>
      <c r="SSK19" s="171"/>
      <c r="SSL19" s="171"/>
      <c r="SSM19" s="171"/>
      <c r="SSN19" s="171"/>
      <c r="SSO19" s="171"/>
      <c r="SSP19" s="171"/>
      <c r="SSQ19" s="171"/>
      <c r="SSR19" s="171"/>
      <c r="SSS19" s="171"/>
      <c r="SST19" s="171"/>
      <c r="SSU19" s="171"/>
      <c r="SSV19" s="171"/>
      <c r="SSW19" s="171"/>
      <c r="SSX19" s="171"/>
      <c r="SSY19" s="171"/>
      <c r="SSZ19" s="171"/>
      <c r="STA19" s="171"/>
      <c r="STB19" s="171"/>
      <c r="STC19" s="171"/>
      <c r="STD19" s="171"/>
      <c r="STE19" s="171"/>
      <c r="STF19" s="171"/>
      <c r="STG19" s="171"/>
      <c r="STH19" s="171"/>
      <c r="STI19" s="171"/>
      <c r="STJ19" s="171"/>
      <c r="STK19" s="171"/>
      <c r="STL19" s="171"/>
      <c r="STM19" s="171"/>
      <c r="STN19" s="171"/>
      <c r="STO19" s="171"/>
      <c r="STP19" s="171"/>
      <c r="STQ19" s="171"/>
      <c r="STR19" s="171"/>
      <c r="STS19" s="171"/>
      <c r="STT19" s="171"/>
      <c r="STU19" s="171"/>
      <c r="STV19" s="171"/>
      <c r="STW19" s="171"/>
      <c r="STX19" s="171"/>
      <c r="STY19" s="171"/>
      <c r="STZ19" s="171"/>
      <c r="SUA19" s="171"/>
      <c r="SUB19" s="171"/>
      <c r="SUC19" s="171"/>
      <c r="SUD19" s="171"/>
      <c r="SUE19" s="171"/>
      <c r="SUF19" s="171"/>
      <c r="SUG19" s="171"/>
      <c r="SUH19" s="171"/>
      <c r="SUI19" s="171"/>
      <c r="SUJ19" s="171"/>
      <c r="SUK19" s="171"/>
      <c r="SUL19" s="171"/>
      <c r="SUM19" s="171"/>
      <c r="SUN19" s="171"/>
      <c r="SUO19" s="171"/>
      <c r="SUP19" s="171"/>
      <c r="SUQ19" s="171"/>
      <c r="SUR19" s="171"/>
      <c r="SUS19" s="171"/>
      <c r="SUT19" s="171"/>
      <c r="SUU19" s="171"/>
      <c r="SUV19" s="171"/>
      <c r="SUW19" s="171"/>
      <c r="SUX19" s="171"/>
      <c r="SUY19" s="171"/>
      <c r="SUZ19" s="171"/>
      <c r="SVA19" s="171"/>
      <c r="SVB19" s="171"/>
      <c r="SVC19" s="171"/>
      <c r="SVD19" s="171"/>
      <c r="SVE19" s="171"/>
      <c r="SVF19" s="171"/>
      <c r="SVG19" s="171"/>
      <c r="SVH19" s="171"/>
      <c r="SVI19" s="171"/>
      <c r="SVJ19" s="171"/>
      <c r="SVK19" s="171"/>
      <c r="SVL19" s="171"/>
      <c r="SVM19" s="171"/>
      <c r="SVN19" s="171"/>
      <c r="SVO19" s="171"/>
      <c r="SVP19" s="171"/>
      <c r="SVQ19" s="171"/>
      <c r="SVR19" s="171"/>
      <c r="SVS19" s="171"/>
      <c r="SVT19" s="171"/>
      <c r="SVU19" s="171"/>
      <c r="SVV19" s="171"/>
      <c r="SVW19" s="171"/>
      <c r="SVX19" s="171"/>
      <c r="SVY19" s="171"/>
      <c r="SVZ19" s="171"/>
      <c r="SWA19" s="171"/>
      <c r="SWB19" s="171"/>
      <c r="SWC19" s="171"/>
      <c r="SWD19" s="171"/>
      <c r="SWE19" s="171"/>
      <c r="SWF19" s="171"/>
      <c r="SWG19" s="171"/>
      <c r="SWH19" s="171"/>
      <c r="SWI19" s="171"/>
      <c r="SWJ19" s="171"/>
      <c r="SWK19" s="171"/>
      <c r="SWL19" s="171"/>
      <c r="SWM19" s="171"/>
      <c r="SWN19" s="171"/>
      <c r="SWO19" s="171"/>
      <c r="SWP19" s="171"/>
      <c r="SWQ19" s="171"/>
      <c r="SWR19" s="171"/>
      <c r="SWS19" s="171"/>
      <c r="SWT19" s="171"/>
      <c r="SWU19" s="171"/>
      <c r="SWV19" s="171"/>
      <c r="SWW19" s="171"/>
      <c r="SWX19" s="171"/>
      <c r="SWY19" s="171"/>
      <c r="SWZ19" s="171"/>
      <c r="SXA19" s="171"/>
      <c r="SXB19" s="171"/>
      <c r="SXC19" s="171"/>
      <c r="SXD19" s="171"/>
      <c r="SXE19" s="171"/>
      <c r="SXF19" s="171"/>
      <c r="SXG19" s="171"/>
      <c r="SXH19" s="171"/>
      <c r="SXI19" s="171"/>
      <c r="SXJ19" s="171"/>
      <c r="SXK19" s="171"/>
      <c r="SXL19" s="171"/>
      <c r="SXM19" s="171"/>
      <c r="SXN19" s="171"/>
      <c r="SXO19" s="171"/>
      <c r="SXP19" s="171"/>
      <c r="SXQ19" s="171"/>
      <c r="SXR19" s="171"/>
      <c r="SXS19" s="171"/>
      <c r="SXT19" s="171"/>
      <c r="SXU19" s="171"/>
      <c r="SXV19" s="171"/>
      <c r="SXW19" s="171"/>
      <c r="SXX19" s="171"/>
      <c r="SXY19" s="171"/>
      <c r="SXZ19" s="171"/>
      <c r="SYA19" s="171"/>
      <c r="SYB19" s="171"/>
      <c r="SYC19" s="171"/>
      <c r="SYD19" s="171"/>
      <c r="SYE19" s="171"/>
      <c r="SYF19" s="171"/>
      <c r="SYG19" s="171"/>
      <c r="SYH19" s="171"/>
      <c r="SYI19" s="171"/>
      <c r="SYJ19" s="171"/>
      <c r="SYK19" s="171"/>
      <c r="SYL19" s="171"/>
      <c r="SYM19" s="171"/>
      <c r="SYN19" s="171"/>
      <c r="SYO19" s="171"/>
      <c r="SYP19" s="171"/>
      <c r="SYQ19" s="171"/>
      <c r="SYR19" s="171"/>
      <c r="SYS19" s="171"/>
      <c r="SYT19" s="171"/>
      <c r="SYU19" s="171"/>
      <c r="SYV19" s="171"/>
      <c r="SYW19" s="171"/>
      <c r="SYX19" s="171"/>
      <c r="SYY19" s="171"/>
      <c r="SYZ19" s="171"/>
      <c r="SZA19" s="171"/>
      <c r="SZB19" s="171"/>
      <c r="SZC19" s="171"/>
      <c r="SZD19" s="171"/>
      <c r="SZE19" s="171"/>
      <c r="SZF19" s="171"/>
      <c r="SZG19" s="171"/>
      <c r="SZH19" s="171"/>
      <c r="SZI19" s="171"/>
      <c r="SZJ19" s="171"/>
      <c r="SZK19" s="171"/>
      <c r="SZL19" s="171"/>
      <c r="SZM19" s="171"/>
      <c r="SZN19" s="171"/>
      <c r="SZO19" s="171"/>
      <c r="SZP19" s="171"/>
      <c r="SZQ19" s="171"/>
      <c r="SZR19" s="171"/>
      <c r="SZS19" s="171"/>
      <c r="SZT19" s="171"/>
      <c r="SZU19" s="171"/>
      <c r="SZV19" s="171"/>
      <c r="SZW19" s="171"/>
      <c r="SZX19" s="171"/>
      <c r="SZY19" s="171"/>
      <c r="SZZ19" s="171"/>
      <c r="TAA19" s="171"/>
      <c r="TAB19" s="171"/>
      <c r="TAC19" s="171"/>
      <c r="TAD19" s="171"/>
      <c r="TAE19" s="171"/>
      <c r="TAF19" s="171"/>
      <c r="TAG19" s="171"/>
      <c r="TAH19" s="171"/>
      <c r="TAI19" s="171"/>
      <c r="TAJ19" s="171"/>
      <c r="TAK19" s="171"/>
      <c r="TAL19" s="171"/>
      <c r="TAM19" s="171"/>
      <c r="TAN19" s="171"/>
      <c r="TAO19" s="171"/>
      <c r="TAP19" s="171"/>
      <c r="TAQ19" s="171"/>
      <c r="TAR19" s="171"/>
      <c r="TAS19" s="171"/>
      <c r="TAT19" s="171"/>
      <c r="TAU19" s="171"/>
      <c r="TAV19" s="171"/>
      <c r="TAW19" s="171"/>
      <c r="TAX19" s="171"/>
      <c r="TAY19" s="171"/>
      <c r="TAZ19" s="171"/>
      <c r="TBA19" s="171"/>
      <c r="TBB19" s="171"/>
      <c r="TBC19" s="171"/>
      <c r="TBD19" s="171"/>
      <c r="TBE19" s="171"/>
      <c r="TBF19" s="171"/>
      <c r="TBG19" s="171"/>
      <c r="TBH19" s="171"/>
      <c r="TBI19" s="171"/>
      <c r="TBJ19" s="171"/>
      <c r="TBK19" s="171"/>
      <c r="TBL19" s="171"/>
      <c r="TBM19" s="171"/>
      <c r="TBN19" s="171"/>
      <c r="TBO19" s="171"/>
      <c r="TBP19" s="171"/>
      <c r="TBQ19" s="171"/>
      <c r="TBR19" s="171"/>
      <c r="TBS19" s="171"/>
      <c r="TBT19" s="171"/>
      <c r="TBU19" s="171"/>
      <c r="TBV19" s="171"/>
      <c r="TBW19" s="171"/>
      <c r="TBX19" s="171"/>
      <c r="TBY19" s="171"/>
      <c r="TBZ19" s="171"/>
      <c r="TCA19" s="171"/>
      <c r="TCB19" s="171"/>
      <c r="TCC19" s="171"/>
      <c r="TCD19" s="171"/>
      <c r="TCE19" s="171"/>
      <c r="TCF19" s="171"/>
      <c r="TCG19" s="171"/>
      <c r="TCH19" s="171"/>
      <c r="TCI19" s="171"/>
      <c r="TCJ19" s="171"/>
      <c r="TCK19" s="171"/>
      <c r="TCL19" s="171"/>
      <c r="TCM19" s="171"/>
      <c r="TCN19" s="171"/>
      <c r="TCO19" s="171"/>
      <c r="TCP19" s="171"/>
      <c r="TCQ19" s="171"/>
      <c r="TCR19" s="171"/>
      <c r="TCS19" s="171"/>
      <c r="TCT19" s="171"/>
      <c r="TCU19" s="171"/>
      <c r="TCV19" s="171"/>
      <c r="TCW19" s="171"/>
      <c r="TCX19" s="171"/>
      <c r="TCY19" s="171"/>
      <c r="TCZ19" s="171"/>
      <c r="TDA19" s="171"/>
      <c r="TDB19" s="171"/>
      <c r="TDC19" s="171"/>
      <c r="TDD19" s="171"/>
      <c r="TDE19" s="171"/>
      <c r="TDF19" s="171"/>
      <c r="TDG19" s="171"/>
      <c r="TDH19" s="171"/>
      <c r="TDI19" s="171"/>
      <c r="TDJ19" s="171"/>
      <c r="TDK19" s="171"/>
      <c r="TDL19" s="171"/>
      <c r="TDM19" s="171"/>
      <c r="TDN19" s="171"/>
      <c r="TDO19" s="171"/>
      <c r="TDP19" s="171"/>
      <c r="TDQ19" s="171"/>
      <c r="TDR19" s="171"/>
      <c r="TDS19" s="171"/>
      <c r="TDT19" s="171"/>
      <c r="TDU19" s="171"/>
      <c r="TDV19" s="171"/>
      <c r="TDW19" s="171"/>
      <c r="TDX19" s="171"/>
      <c r="TDY19" s="171"/>
      <c r="TDZ19" s="171"/>
      <c r="TEA19" s="171"/>
      <c r="TEB19" s="171"/>
      <c r="TEC19" s="171"/>
      <c r="TED19" s="171"/>
      <c r="TEE19" s="171"/>
      <c r="TEF19" s="171"/>
      <c r="TEG19" s="171"/>
      <c r="TEH19" s="171"/>
      <c r="TEI19" s="171"/>
      <c r="TEJ19" s="171"/>
      <c r="TEK19" s="171"/>
      <c r="TEL19" s="171"/>
      <c r="TEM19" s="171"/>
      <c r="TEN19" s="171"/>
      <c r="TEO19" s="171"/>
      <c r="TEP19" s="171"/>
      <c r="TEQ19" s="171"/>
      <c r="TER19" s="171"/>
      <c r="TES19" s="171"/>
      <c r="TET19" s="171"/>
      <c r="TEU19" s="171"/>
      <c r="TEV19" s="171"/>
      <c r="TEW19" s="171"/>
      <c r="TEX19" s="171"/>
      <c r="TEY19" s="171"/>
      <c r="TEZ19" s="171"/>
      <c r="TFA19" s="171"/>
      <c r="TFB19" s="171"/>
      <c r="TFC19" s="171"/>
      <c r="TFD19" s="171"/>
      <c r="TFE19" s="171"/>
      <c r="TFF19" s="171"/>
      <c r="TFG19" s="171"/>
      <c r="TFH19" s="171"/>
      <c r="TFI19" s="171"/>
      <c r="TFJ19" s="171"/>
      <c r="TFK19" s="171"/>
      <c r="TFL19" s="171"/>
      <c r="TFM19" s="171"/>
      <c r="TFN19" s="171"/>
      <c r="TFO19" s="171"/>
      <c r="TFP19" s="171"/>
      <c r="TFQ19" s="171"/>
      <c r="TFR19" s="171"/>
      <c r="TFS19" s="171"/>
      <c r="TFT19" s="171"/>
      <c r="TFU19" s="171"/>
      <c r="TFV19" s="171"/>
      <c r="TFW19" s="171"/>
      <c r="TFX19" s="171"/>
      <c r="TFY19" s="171"/>
      <c r="TFZ19" s="171"/>
      <c r="TGA19" s="171"/>
      <c r="TGB19" s="171"/>
      <c r="TGC19" s="171"/>
      <c r="TGD19" s="171"/>
      <c r="TGE19" s="171"/>
      <c r="TGF19" s="171"/>
      <c r="TGG19" s="171"/>
      <c r="TGH19" s="171"/>
      <c r="TGI19" s="171"/>
      <c r="TGJ19" s="171"/>
      <c r="TGK19" s="171"/>
      <c r="TGL19" s="171"/>
      <c r="TGM19" s="171"/>
      <c r="TGN19" s="171"/>
      <c r="TGO19" s="171"/>
      <c r="TGP19" s="171"/>
      <c r="TGQ19" s="171"/>
      <c r="TGR19" s="171"/>
      <c r="TGS19" s="171"/>
      <c r="TGT19" s="171"/>
      <c r="TGU19" s="171"/>
      <c r="TGV19" s="171"/>
      <c r="TGW19" s="171"/>
      <c r="TGX19" s="171"/>
      <c r="TGY19" s="171"/>
      <c r="TGZ19" s="171"/>
      <c r="THA19" s="171"/>
      <c r="THB19" s="171"/>
      <c r="THC19" s="171"/>
      <c r="THD19" s="171"/>
      <c r="THE19" s="171"/>
      <c r="THF19" s="171"/>
      <c r="THG19" s="171"/>
      <c r="THH19" s="171"/>
      <c r="THI19" s="171"/>
      <c r="THJ19" s="171"/>
      <c r="THK19" s="171"/>
      <c r="THL19" s="171"/>
      <c r="THM19" s="171"/>
      <c r="THN19" s="171"/>
      <c r="THO19" s="171"/>
      <c r="THP19" s="171"/>
      <c r="THQ19" s="171"/>
      <c r="THR19" s="171"/>
      <c r="THS19" s="171"/>
      <c r="THT19" s="171"/>
      <c r="THU19" s="171"/>
      <c r="THV19" s="171"/>
      <c r="THW19" s="171"/>
      <c r="THX19" s="171"/>
      <c r="THY19" s="171"/>
      <c r="THZ19" s="171"/>
      <c r="TIA19" s="171"/>
      <c r="TIB19" s="171"/>
      <c r="TIC19" s="171"/>
      <c r="TID19" s="171"/>
      <c r="TIE19" s="171"/>
      <c r="TIF19" s="171"/>
      <c r="TIG19" s="171"/>
      <c r="TIH19" s="171"/>
      <c r="TII19" s="171"/>
      <c r="TIJ19" s="171"/>
      <c r="TIK19" s="171"/>
      <c r="TIL19" s="171"/>
      <c r="TIM19" s="171"/>
      <c r="TIN19" s="171"/>
      <c r="TIO19" s="171"/>
      <c r="TIP19" s="171"/>
      <c r="TIQ19" s="171"/>
      <c r="TIR19" s="171"/>
      <c r="TIS19" s="171"/>
      <c r="TIT19" s="171"/>
      <c r="TIU19" s="171"/>
      <c r="TIV19" s="171"/>
      <c r="TIW19" s="171"/>
      <c r="TIX19" s="171"/>
      <c r="TIY19" s="171"/>
      <c r="TIZ19" s="171"/>
      <c r="TJA19" s="171"/>
      <c r="TJB19" s="171"/>
      <c r="TJC19" s="171"/>
      <c r="TJD19" s="171"/>
      <c r="TJE19" s="171"/>
      <c r="TJF19" s="171"/>
      <c r="TJG19" s="171"/>
      <c r="TJH19" s="171"/>
      <c r="TJI19" s="171"/>
      <c r="TJJ19" s="171"/>
      <c r="TJK19" s="171"/>
      <c r="TJL19" s="171"/>
      <c r="TJM19" s="171"/>
      <c r="TJN19" s="171"/>
      <c r="TJO19" s="171"/>
      <c r="TJP19" s="171"/>
      <c r="TJQ19" s="171"/>
      <c r="TJR19" s="171"/>
      <c r="TJS19" s="171"/>
      <c r="TJT19" s="171"/>
      <c r="TJU19" s="171"/>
      <c r="TJV19" s="171"/>
      <c r="TJW19" s="171"/>
      <c r="TJX19" s="171"/>
      <c r="TJY19" s="171"/>
      <c r="TJZ19" s="171"/>
      <c r="TKA19" s="171"/>
      <c r="TKB19" s="171"/>
      <c r="TKC19" s="171"/>
      <c r="TKD19" s="171"/>
      <c r="TKE19" s="171"/>
      <c r="TKF19" s="171"/>
      <c r="TKG19" s="171"/>
      <c r="TKH19" s="171"/>
      <c r="TKI19" s="171"/>
      <c r="TKJ19" s="171"/>
      <c r="TKK19" s="171"/>
      <c r="TKL19" s="171"/>
      <c r="TKM19" s="171"/>
      <c r="TKN19" s="171"/>
      <c r="TKO19" s="171"/>
      <c r="TKP19" s="171"/>
      <c r="TKQ19" s="171"/>
      <c r="TKR19" s="171"/>
      <c r="TKS19" s="171"/>
      <c r="TKT19" s="171"/>
      <c r="TKU19" s="171"/>
      <c r="TKV19" s="171"/>
      <c r="TKW19" s="171"/>
      <c r="TKX19" s="171"/>
      <c r="TKY19" s="171"/>
      <c r="TKZ19" s="171"/>
      <c r="TLA19" s="171"/>
      <c r="TLB19" s="171"/>
      <c r="TLC19" s="171"/>
      <c r="TLD19" s="171"/>
      <c r="TLE19" s="171"/>
      <c r="TLF19" s="171"/>
      <c r="TLG19" s="171"/>
      <c r="TLH19" s="171"/>
      <c r="TLI19" s="171"/>
      <c r="TLJ19" s="171"/>
      <c r="TLK19" s="171"/>
      <c r="TLL19" s="171"/>
      <c r="TLM19" s="171"/>
      <c r="TLN19" s="171"/>
      <c r="TLO19" s="171"/>
      <c r="TLP19" s="171"/>
      <c r="TLQ19" s="171"/>
      <c r="TLR19" s="171"/>
      <c r="TLS19" s="171"/>
      <c r="TLT19" s="171"/>
      <c r="TLU19" s="171"/>
      <c r="TLV19" s="171"/>
      <c r="TLW19" s="171"/>
      <c r="TLX19" s="171"/>
      <c r="TLY19" s="171"/>
      <c r="TLZ19" s="171"/>
      <c r="TMA19" s="171"/>
      <c r="TMB19" s="171"/>
      <c r="TMC19" s="171"/>
      <c r="TMD19" s="171"/>
      <c r="TME19" s="171"/>
      <c r="TMF19" s="171"/>
      <c r="TMG19" s="171"/>
      <c r="TMH19" s="171"/>
      <c r="TMI19" s="171"/>
      <c r="TMJ19" s="171"/>
      <c r="TMK19" s="171"/>
      <c r="TML19" s="171"/>
      <c r="TMM19" s="171"/>
      <c r="TMN19" s="171"/>
      <c r="TMO19" s="171"/>
      <c r="TMP19" s="171"/>
      <c r="TMQ19" s="171"/>
      <c r="TMR19" s="171"/>
      <c r="TMS19" s="171"/>
      <c r="TMT19" s="171"/>
      <c r="TMU19" s="171"/>
      <c r="TMV19" s="171"/>
      <c r="TMW19" s="171"/>
      <c r="TMX19" s="171"/>
      <c r="TMY19" s="171"/>
      <c r="TMZ19" s="171"/>
      <c r="TNA19" s="171"/>
      <c r="TNB19" s="171"/>
      <c r="TNC19" s="171"/>
      <c r="TND19" s="171"/>
      <c r="TNE19" s="171"/>
      <c r="TNF19" s="171"/>
      <c r="TNG19" s="171"/>
      <c r="TNH19" s="171"/>
      <c r="TNI19" s="171"/>
      <c r="TNJ19" s="171"/>
      <c r="TNK19" s="171"/>
      <c r="TNL19" s="171"/>
      <c r="TNM19" s="171"/>
      <c r="TNN19" s="171"/>
      <c r="TNO19" s="171"/>
      <c r="TNP19" s="171"/>
      <c r="TNQ19" s="171"/>
      <c r="TNR19" s="171"/>
      <c r="TNS19" s="171"/>
      <c r="TNT19" s="171"/>
      <c r="TNU19" s="171"/>
      <c r="TNV19" s="171"/>
      <c r="TNW19" s="171"/>
      <c r="TNX19" s="171"/>
      <c r="TNY19" s="171"/>
      <c r="TNZ19" s="171"/>
      <c r="TOA19" s="171"/>
      <c r="TOB19" s="171"/>
      <c r="TOC19" s="171"/>
      <c r="TOD19" s="171"/>
      <c r="TOE19" s="171"/>
      <c r="TOF19" s="171"/>
      <c r="TOG19" s="171"/>
      <c r="TOH19" s="171"/>
      <c r="TOI19" s="171"/>
      <c r="TOJ19" s="171"/>
      <c r="TOK19" s="171"/>
      <c r="TOL19" s="171"/>
      <c r="TOM19" s="171"/>
      <c r="TON19" s="171"/>
      <c r="TOO19" s="171"/>
      <c r="TOP19" s="171"/>
      <c r="TOQ19" s="171"/>
      <c r="TOR19" s="171"/>
      <c r="TOS19" s="171"/>
      <c r="TOT19" s="171"/>
      <c r="TOU19" s="171"/>
      <c r="TOV19" s="171"/>
      <c r="TOW19" s="171"/>
      <c r="TOX19" s="171"/>
      <c r="TOY19" s="171"/>
      <c r="TOZ19" s="171"/>
      <c r="TPA19" s="171"/>
      <c r="TPB19" s="171"/>
      <c r="TPC19" s="171"/>
      <c r="TPD19" s="171"/>
      <c r="TPE19" s="171"/>
      <c r="TPF19" s="171"/>
      <c r="TPG19" s="171"/>
      <c r="TPH19" s="171"/>
      <c r="TPI19" s="171"/>
      <c r="TPJ19" s="171"/>
      <c r="TPK19" s="171"/>
      <c r="TPL19" s="171"/>
      <c r="TPM19" s="171"/>
      <c r="TPN19" s="171"/>
      <c r="TPO19" s="171"/>
      <c r="TPP19" s="171"/>
      <c r="TPQ19" s="171"/>
      <c r="TPR19" s="171"/>
      <c r="TPS19" s="171"/>
      <c r="TPT19" s="171"/>
      <c r="TPU19" s="171"/>
      <c r="TPV19" s="171"/>
      <c r="TPW19" s="171"/>
      <c r="TPX19" s="171"/>
      <c r="TPY19" s="171"/>
      <c r="TPZ19" s="171"/>
      <c r="TQA19" s="171"/>
      <c r="TQB19" s="171"/>
      <c r="TQC19" s="171"/>
      <c r="TQD19" s="171"/>
      <c r="TQE19" s="171"/>
      <c r="TQF19" s="171"/>
      <c r="TQG19" s="171"/>
      <c r="TQH19" s="171"/>
      <c r="TQI19" s="171"/>
      <c r="TQJ19" s="171"/>
      <c r="TQK19" s="171"/>
      <c r="TQL19" s="171"/>
      <c r="TQM19" s="171"/>
      <c r="TQN19" s="171"/>
      <c r="TQO19" s="171"/>
      <c r="TQP19" s="171"/>
      <c r="TQQ19" s="171"/>
      <c r="TQR19" s="171"/>
      <c r="TQS19" s="171"/>
      <c r="TQT19" s="171"/>
      <c r="TQU19" s="171"/>
      <c r="TQV19" s="171"/>
      <c r="TQW19" s="171"/>
      <c r="TQX19" s="171"/>
      <c r="TQY19" s="171"/>
      <c r="TQZ19" s="171"/>
      <c r="TRA19" s="171"/>
      <c r="TRB19" s="171"/>
      <c r="TRC19" s="171"/>
      <c r="TRD19" s="171"/>
      <c r="TRE19" s="171"/>
      <c r="TRF19" s="171"/>
      <c r="TRG19" s="171"/>
      <c r="TRH19" s="171"/>
      <c r="TRI19" s="171"/>
      <c r="TRJ19" s="171"/>
      <c r="TRK19" s="171"/>
      <c r="TRL19" s="171"/>
      <c r="TRM19" s="171"/>
      <c r="TRN19" s="171"/>
      <c r="TRO19" s="171"/>
      <c r="TRP19" s="171"/>
      <c r="TRQ19" s="171"/>
      <c r="TRR19" s="171"/>
      <c r="TRS19" s="171"/>
      <c r="TRT19" s="171"/>
      <c r="TRU19" s="171"/>
      <c r="TRV19" s="171"/>
      <c r="TRW19" s="171"/>
      <c r="TRX19" s="171"/>
      <c r="TRY19" s="171"/>
      <c r="TRZ19" s="171"/>
      <c r="TSA19" s="171"/>
      <c r="TSB19" s="171"/>
      <c r="TSC19" s="171"/>
      <c r="TSD19" s="171"/>
      <c r="TSE19" s="171"/>
      <c r="TSF19" s="171"/>
      <c r="TSG19" s="171"/>
      <c r="TSH19" s="171"/>
      <c r="TSI19" s="171"/>
      <c r="TSJ19" s="171"/>
      <c r="TSK19" s="171"/>
      <c r="TSL19" s="171"/>
      <c r="TSM19" s="171"/>
      <c r="TSN19" s="171"/>
      <c r="TSO19" s="171"/>
      <c r="TSP19" s="171"/>
      <c r="TSQ19" s="171"/>
      <c r="TSR19" s="171"/>
      <c r="TSS19" s="171"/>
      <c r="TST19" s="171"/>
      <c r="TSU19" s="171"/>
      <c r="TSV19" s="171"/>
      <c r="TSW19" s="171"/>
      <c r="TSX19" s="171"/>
      <c r="TSY19" s="171"/>
      <c r="TSZ19" s="171"/>
      <c r="TTA19" s="171"/>
      <c r="TTB19" s="171"/>
      <c r="TTC19" s="171"/>
      <c r="TTD19" s="171"/>
      <c r="TTE19" s="171"/>
      <c r="TTF19" s="171"/>
      <c r="TTG19" s="171"/>
      <c r="TTH19" s="171"/>
      <c r="TTI19" s="171"/>
      <c r="TTJ19" s="171"/>
      <c r="TTK19" s="171"/>
      <c r="TTL19" s="171"/>
      <c r="TTM19" s="171"/>
      <c r="TTN19" s="171"/>
      <c r="TTO19" s="171"/>
      <c r="TTP19" s="171"/>
      <c r="TTQ19" s="171"/>
      <c r="TTR19" s="171"/>
      <c r="TTS19" s="171"/>
      <c r="TTT19" s="171"/>
      <c r="TTU19" s="171"/>
      <c r="TTV19" s="171"/>
      <c r="TTW19" s="171"/>
      <c r="TTX19" s="171"/>
      <c r="TTY19" s="171"/>
      <c r="TTZ19" s="171"/>
      <c r="TUA19" s="171"/>
      <c r="TUB19" s="171"/>
      <c r="TUC19" s="171"/>
      <c r="TUD19" s="171"/>
      <c r="TUE19" s="171"/>
      <c r="TUF19" s="171"/>
      <c r="TUG19" s="171"/>
      <c r="TUH19" s="171"/>
      <c r="TUI19" s="171"/>
      <c r="TUJ19" s="171"/>
      <c r="TUK19" s="171"/>
      <c r="TUL19" s="171"/>
      <c r="TUM19" s="171"/>
      <c r="TUN19" s="171"/>
      <c r="TUO19" s="171"/>
      <c r="TUP19" s="171"/>
      <c r="TUQ19" s="171"/>
      <c r="TUR19" s="171"/>
      <c r="TUS19" s="171"/>
      <c r="TUT19" s="171"/>
      <c r="TUU19" s="171"/>
      <c r="TUV19" s="171"/>
      <c r="TUW19" s="171"/>
      <c r="TUX19" s="171"/>
      <c r="TUY19" s="171"/>
      <c r="TUZ19" s="171"/>
      <c r="TVA19" s="171"/>
      <c r="TVB19" s="171"/>
      <c r="TVC19" s="171"/>
      <c r="TVD19" s="171"/>
      <c r="TVE19" s="171"/>
      <c r="TVF19" s="171"/>
      <c r="TVG19" s="171"/>
      <c r="TVH19" s="171"/>
      <c r="TVI19" s="171"/>
      <c r="TVJ19" s="171"/>
      <c r="TVK19" s="171"/>
      <c r="TVL19" s="171"/>
      <c r="TVM19" s="171"/>
      <c r="TVN19" s="171"/>
      <c r="TVO19" s="171"/>
      <c r="TVP19" s="171"/>
      <c r="TVQ19" s="171"/>
      <c r="TVR19" s="171"/>
      <c r="TVS19" s="171"/>
      <c r="TVT19" s="171"/>
      <c r="TVU19" s="171"/>
      <c r="TVV19" s="171"/>
      <c r="TVW19" s="171"/>
      <c r="TVX19" s="171"/>
      <c r="TVY19" s="171"/>
      <c r="TVZ19" s="171"/>
      <c r="TWA19" s="171"/>
      <c r="TWB19" s="171"/>
      <c r="TWC19" s="171"/>
      <c r="TWD19" s="171"/>
      <c r="TWE19" s="171"/>
      <c r="TWF19" s="171"/>
      <c r="TWG19" s="171"/>
      <c r="TWH19" s="171"/>
      <c r="TWI19" s="171"/>
      <c r="TWJ19" s="171"/>
      <c r="TWK19" s="171"/>
      <c r="TWL19" s="171"/>
      <c r="TWM19" s="171"/>
      <c r="TWN19" s="171"/>
      <c r="TWO19" s="171"/>
      <c r="TWP19" s="171"/>
      <c r="TWQ19" s="171"/>
      <c r="TWR19" s="171"/>
      <c r="TWS19" s="171"/>
      <c r="TWT19" s="171"/>
      <c r="TWU19" s="171"/>
      <c r="TWV19" s="171"/>
      <c r="TWW19" s="171"/>
      <c r="TWX19" s="171"/>
      <c r="TWY19" s="171"/>
      <c r="TWZ19" s="171"/>
      <c r="TXA19" s="171"/>
      <c r="TXB19" s="171"/>
      <c r="TXC19" s="171"/>
      <c r="TXD19" s="171"/>
      <c r="TXE19" s="171"/>
      <c r="TXF19" s="171"/>
      <c r="TXG19" s="171"/>
      <c r="TXH19" s="171"/>
      <c r="TXI19" s="171"/>
      <c r="TXJ19" s="171"/>
      <c r="TXK19" s="171"/>
      <c r="TXL19" s="171"/>
      <c r="TXM19" s="171"/>
      <c r="TXN19" s="171"/>
      <c r="TXO19" s="171"/>
      <c r="TXP19" s="171"/>
      <c r="TXQ19" s="171"/>
      <c r="TXR19" s="171"/>
      <c r="TXS19" s="171"/>
      <c r="TXT19" s="171"/>
      <c r="TXU19" s="171"/>
      <c r="TXV19" s="171"/>
      <c r="TXW19" s="171"/>
      <c r="TXX19" s="171"/>
      <c r="TXY19" s="171"/>
      <c r="TXZ19" s="171"/>
      <c r="TYA19" s="171"/>
      <c r="TYB19" s="171"/>
      <c r="TYC19" s="171"/>
      <c r="TYD19" s="171"/>
      <c r="TYE19" s="171"/>
      <c r="TYF19" s="171"/>
      <c r="TYG19" s="171"/>
      <c r="TYH19" s="171"/>
      <c r="TYI19" s="171"/>
      <c r="TYJ19" s="171"/>
      <c r="TYK19" s="171"/>
      <c r="TYL19" s="171"/>
      <c r="TYM19" s="171"/>
      <c r="TYN19" s="171"/>
      <c r="TYO19" s="171"/>
      <c r="TYP19" s="171"/>
      <c r="TYQ19" s="171"/>
      <c r="TYR19" s="171"/>
      <c r="TYS19" s="171"/>
      <c r="TYT19" s="171"/>
      <c r="TYU19" s="171"/>
      <c r="TYV19" s="171"/>
      <c r="TYW19" s="171"/>
      <c r="TYX19" s="171"/>
      <c r="TYY19" s="171"/>
      <c r="TYZ19" s="171"/>
      <c r="TZA19" s="171"/>
      <c r="TZB19" s="171"/>
      <c r="TZC19" s="171"/>
      <c r="TZD19" s="171"/>
      <c r="TZE19" s="171"/>
      <c r="TZF19" s="171"/>
      <c r="TZG19" s="171"/>
      <c r="TZH19" s="171"/>
      <c r="TZI19" s="171"/>
      <c r="TZJ19" s="171"/>
      <c r="TZK19" s="171"/>
      <c r="TZL19" s="171"/>
      <c r="TZM19" s="171"/>
      <c r="TZN19" s="171"/>
      <c r="TZO19" s="171"/>
      <c r="TZP19" s="171"/>
      <c r="TZQ19" s="171"/>
      <c r="TZR19" s="171"/>
      <c r="TZS19" s="171"/>
      <c r="TZT19" s="171"/>
      <c r="TZU19" s="171"/>
      <c r="TZV19" s="171"/>
      <c r="TZW19" s="171"/>
      <c r="TZX19" s="171"/>
      <c r="TZY19" s="171"/>
      <c r="TZZ19" s="171"/>
      <c r="UAA19" s="171"/>
      <c r="UAB19" s="171"/>
      <c r="UAC19" s="171"/>
      <c r="UAD19" s="171"/>
      <c r="UAE19" s="171"/>
      <c r="UAF19" s="171"/>
      <c r="UAG19" s="171"/>
      <c r="UAH19" s="171"/>
      <c r="UAI19" s="171"/>
      <c r="UAJ19" s="171"/>
      <c r="UAK19" s="171"/>
      <c r="UAL19" s="171"/>
      <c r="UAM19" s="171"/>
      <c r="UAN19" s="171"/>
      <c r="UAO19" s="171"/>
      <c r="UAP19" s="171"/>
      <c r="UAQ19" s="171"/>
      <c r="UAR19" s="171"/>
      <c r="UAS19" s="171"/>
      <c r="UAT19" s="171"/>
      <c r="UAU19" s="171"/>
      <c r="UAV19" s="171"/>
      <c r="UAW19" s="171"/>
      <c r="UAX19" s="171"/>
      <c r="UAY19" s="171"/>
      <c r="UAZ19" s="171"/>
      <c r="UBA19" s="171"/>
      <c r="UBB19" s="171"/>
      <c r="UBC19" s="171"/>
      <c r="UBD19" s="171"/>
      <c r="UBE19" s="171"/>
      <c r="UBF19" s="171"/>
      <c r="UBG19" s="171"/>
      <c r="UBH19" s="171"/>
      <c r="UBI19" s="171"/>
      <c r="UBJ19" s="171"/>
      <c r="UBK19" s="171"/>
      <c r="UBL19" s="171"/>
      <c r="UBM19" s="171"/>
      <c r="UBN19" s="171"/>
      <c r="UBO19" s="171"/>
      <c r="UBP19" s="171"/>
      <c r="UBQ19" s="171"/>
      <c r="UBR19" s="171"/>
      <c r="UBS19" s="171"/>
      <c r="UBT19" s="171"/>
      <c r="UBU19" s="171"/>
      <c r="UBV19" s="171"/>
      <c r="UBW19" s="171"/>
      <c r="UBX19" s="171"/>
      <c r="UBY19" s="171"/>
      <c r="UBZ19" s="171"/>
      <c r="UCA19" s="171"/>
      <c r="UCB19" s="171"/>
      <c r="UCC19" s="171"/>
      <c r="UCD19" s="171"/>
      <c r="UCE19" s="171"/>
      <c r="UCF19" s="171"/>
      <c r="UCG19" s="171"/>
      <c r="UCH19" s="171"/>
      <c r="UCI19" s="171"/>
      <c r="UCJ19" s="171"/>
      <c r="UCK19" s="171"/>
      <c r="UCL19" s="171"/>
      <c r="UCM19" s="171"/>
      <c r="UCN19" s="171"/>
      <c r="UCO19" s="171"/>
      <c r="UCP19" s="171"/>
      <c r="UCQ19" s="171"/>
      <c r="UCR19" s="171"/>
      <c r="UCS19" s="171"/>
      <c r="UCT19" s="171"/>
      <c r="UCU19" s="171"/>
      <c r="UCV19" s="171"/>
      <c r="UCW19" s="171"/>
      <c r="UCX19" s="171"/>
      <c r="UCY19" s="171"/>
      <c r="UCZ19" s="171"/>
      <c r="UDA19" s="171"/>
      <c r="UDB19" s="171"/>
      <c r="UDC19" s="171"/>
      <c r="UDD19" s="171"/>
      <c r="UDE19" s="171"/>
      <c r="UDF19" s="171"/>
      <c r="UDG19" s="171"/>
      <c r="UDH19" s="171"/>
      <c r="UDI19" s="171"/>
      <c r="UDJ19" s="171"/>
      <c r="UDK19" s="171"/>
      <c r="UDL19" s="171"/>
      <c r="UDM19" s="171"/>
      <c r="UDN19" s="171"/>
      <c r="UDO19" s="171"/>
      <c r="UDP19" s="171"/>
      <c r="UDQ19" s="171"/>
      <c r="UDR19" s="171"/>
      <c r="UDS19" s="171"/>
      <c r="UDT19" s="171"/>
      <c r="UDU19" s="171"/>
      <c r="UDV19" s="171"/>
      <c r="UDW19" s="171"/>
      <c r="UDX19" s="171"/>
      <c r="UDY19" s="171"/>
      <c r="UDZ19" s="171"/>
      <c r="UEA19" s="171"/>
      <c r="UEB19" s="171"/>
      <c r="UEC19" s="171"/>
      <c r="UED19" s="171"/>
      <c r="UEE19" s="171"/>
      <c r="UEF19" s="171"/>
      <c r="UEG19" s="171"/>
      <c r="UEH19" s="171"/>
      <c r="UEI19" s="171"/>
      <c r="UEJ19" s="171"/>
      <c r="UEK19" s="171"/>
      <c r="UEL19" s="171"/>
      <c r="UEM19" s="171"/>
      <c r="UEN19" s="171"/>
      <c r="UEO19" s="171"/>
      <c r="UEP19" s="171"/>
      <c r="UEQ19" s="171"/>
      <c r="UER19" s="171"/>
      <c r="UES19" s="171"/>
      <c r="UET19" s="171"/>
      <c r="UEU19" s="171"/>
      <c r="UEV19" s="171"/>
      <c r="UEW19" s="171"/>
      <c r="UEX19" s="171"/>
      <c r="UEY19" s="171"/>
      <c r="UEZ19" s="171"/>
      <c r="UFA19" s="171"/>
      <c r="UFB19" s="171"/>
      <c r="UFC19" s="171"/>
      <c r="UFD19" s="171"/>
      <c r="UFE19" s="171"/>
      <c r="UFF19" s="171"/>
      <c r="UFG19" s="171"/>
      <c r="UFH19" s="171"/>
      <c r="UFI19" s="171"/>
      <c r="UFJ19" s="171"/>
      <c r="UFK19" s="171"/>
      <c r="UFL19" s="171"/>
      <c r="UFM19" s="171"/>
      <c r="UFN19" s="171"/>
      <c r="UFO19" s="171"/>
      <c r="UFP19" s="171"/>
      <c r="UFQ19" s="171"/>
      <c r="UFR19" s="171"/>
      <c r="UFS19" s="171"/>
      <c r="UFT19" s="171"/>
      <c r="UFU19" s="171"/>
      <c r="UFV19" s="171"/>
      <c r="UFW19" s="171"/>
      <c r="UFX19" s="171"/>
      <c r="UFY19" s="171"/>
      <c r="UFZ19" s="171"/>
      <c r="UGA19" s="171"/>
      <c r="UGB19" s="171"/>
      <c r="UGC19" s="171"/>
      <c r="UGD19" s="171"/>
      <c r="UGE19" s="171"/>
      <c r="UGF19" s="171"/>
      <c r="UGG19" s="171"/>
      <c r="UGH19" s="171"/>
      <c r="UGI19" s="171"/>
      <c r="UGJ19" s="171"/>
      <c r="UGK19" s="171"/>
      <c r="UGL19" s="171"/>
      <c r="UGM19" s="171"/>
      <c r="UGN19" s="171"/>
      <c r="UGO19" s="171"/>
      <c r="UGP19" s="171"/>
      <c r="UGQ19" s="171"/>
      <c r="UGR19" s="171"/>
      <c r="UGS19" s="171"/>
      <c r="UGT19" s="171"/>
      <c r="UGU19" s="171"/>
      <c r="UGV19" s="171"/>
      <c r="UGW19" s="171"/>
      <c r="UGX19" s="171"/>
      <c r="UGY19" s="171"/>
      <c r="UGZ19" s="171"/>
      <c r="UHA19" s="171"/>
      <c r="UHB19" s="171"/>
      <c r="UHC19" s="171"/>
      <c r="UHD19" s="171"/>
      <c r="UHE19" s="171"/>
      <c r="UHF19" s="171"/>
      <c r="UHG19" s="171"/>
      <c r="UHH19" s="171"/>
      <c r="UHI19" s="171"/>
      <c r="UHJ19" s="171"/>
      <c r="UHK19" s="171"/>
      <c r="UHL19" s="171"/>
      <c r="UHM19" s="171"/>
      <c r="UHN19" s="171"/>
      <c r="UHO19" s="171"/>
      <c r="UHP19" s="171"/>
      <c r="UHQ19" s="171"/>
      <c r="UHR19" s="171"/>
      <c r="UHS19" s="171"/>
      <c r="UHT19" s="171"/>
      <c r="UHU19" s="171"/>
      <c r="UHV19" s="171"/>
      <c r="UHW19" s="171"/>
      <c r="UHX19" s="171"/>
      <c r="UHY19" s="171"/>
      <c r="UHZ19" s="171"/>
      <c r="UIA19" s="171"/>
      <c r="UIB19" s="171"/>
      <c r="UIC19" s="171"/>
      <c r="UID19" s="171"/>
      <c r="UIE19" s="171"/>
      <c r="UIF19" s="171"/>
      <c r="UIG19" s="171"/>
      <c r="UIH19" s="171"/>
      <c r="UII19" s="171"/>
      <c r="UIJ19" s="171"/>
      <c r="UIK19" s="171"/>
      <c r="UIL19" s="171"/>
      <c r="UIM19" s="171"/>
      <c r="UIN19" s="171"/>
      <c r="UIO19" s="171"/>
      <c r="UIP19" s="171"/>
      <c r="UIQ19" s="171"/>
      <c r="UIR19" s="171"/>
      <c r="UIS19" s="171"/>
      <c r="UIT19" s="171"/>
      <c r="UIU19" s="171"/>
      <c r="UIV19" s="171"/>
      <c r="UIW19" s="171"/>
      <c r="UIX19" s="171"/>
      <c r="UIY19" s="171"/>
      <c r="UIZ19" s="171"/>
      <c r="UJA19" s="171"/>
      <c r="UJB19" s="171"/>
      <c r="UJC19" s="171"/>
      <c r="UJD19" s="171"/>
      <c r="UJE19" s="171"/>
      <c r="UJF19" s="171"/>
      <c r="UJG19" s="171"/>
      <c r="UJH19" s="171"/>
      <c r="UJI19" s="171"/>
      <c r="UJJ19" s="171"/>
      <c r="UJK19" s="171"/>
      <c r="UJL19" s="171"/>
      <c r="UJM19" s="171"/>
      <c r="UJN19" s="171"/>
      <c r="UJO19" s="171"/>
      <c r="UJP19" s="171"/>
      <c r="UJQ19" s="171"/>
      <c r="UJR19" s="171"/>
      <c r="UJS19" s="171"/>
      <c r="UJT19" s="171"/>
      <c r="UJU19" s="171"/>
      <c r="UJV19" s="171"/>
      <c r="UJW19" s="171"/>
      <c r="UJX19" s="171"/>
      <c r="UJY19" s="171"/>
      <c r="UJZ19" s="171"/>
      <c r="UKA19" s="171"/>
      <c r="UKB19" s="171"/>
      <c r="UKC19" s="171"/>
      <c r="UKD19" s="171"/>
      <c r="UKE19" s="171"/>
      <c r="UKF19" s="171"/>
      <c r="UKG19" s="171"/>
      <c r="UKH19" s="171"/>
      <c r="UKI19" s="171"/>
      <c r="UKJ19" s="171"/>
      <c r="UKK19" s="171"/>
      <c r="UKL19" s="171"/>
      <c r="UKM19" s="171"/>
      <c r="UKN19" s="171"/>
      <c r="UKO19" s="171"/>
      <c r="UKP19" s="171"/>
      <c r="UKQ19" s="171"/>
      <c r="UKR19" s="171"/>
      <c r="UKS19" s="171"/>
      <c r="UKT19" s="171"/>
      <c r="UKU19" s="171"/>
      <c r="UKV19" s="171"/>
      <c r="UKW19" s="171"/>
      <c r="UKX19" s="171"/>
      <c r="UKY19" s="171"/>
      <c r="UKZ19" s="171"/>
      <c r="ULA19" s="171"/>
      <c r="ULB19" s="171"/>
      <c r="ULC19" s="171"/>
      <c r="ULD19" s="171"/>
      <c r="ULE19" s="171"/>
      <c r="ULF19" s="171"/>
      <c r="ULG19" s="171"/>
      <c r="ULH19" s="171"/>
      <c r="ULI19" s="171"/>
      <c r="ULJ19" s="171"/>
      <c r="ULK19" s="171"/>
      <c r="ULL19" s="171"/>
      <c r="ULM19" s="171"/>
      <c r="ULN19" s="171"/>
      <c r="ULO19" s="171"/>
      <c r="ULP19" s="171"/>
      <c r="ULQ19" s="171"/>
      <c r="ULR19" s="171"/>
      <c r="ULS19" s="171"/>
      <c r="ULT19" s="171"/>
      <c r="ULU19" s="171"/>
      <c r="ULV19" s="171"/>
      <c r="ULW19" s="171"/>
      <c r="ULX19" s="171"/>
      <c r="ULY19" s="171"/>
      <c r="ULZ19" s="171"/>
      <c r="UMA19" s="171"/>
      <c r="UMB19" s="171"/>
      <c r="UMC19" s="171"/>
      <c r="UMD19" s="171"/>
      <c r="UME19" s="171"/>
      <c r="UMF19" s="171"/>
      <c r="UMG19" s="171"/>
      <c r="UMH19" s="171"/>
      <c r="UMI19" s="171"/>
      <c r="UMJ19" s="171"/>
      <c r="UMK19" s="171"/>
      <c r="UML19" s="171"/>
      <c r="UMM19" s="171"/>
      <c r="UMN19" s="171"/>
      <c r="UMO19" s="171"/>
      <c r="UMP19" s="171"/>
      <c r="UMQ19" s="171"/>
      <c r="UMR19" s="171"/>
      <c r="UMS19" s="171"/>
      <c r="UMT19" s="171"/>
      <c r="UMU19" s="171"/>
      <c r="UMV19" s="171"/>
      <c r="UMW19" s="171"/>
      <c r="UMX19" s="171"/>
      <c r="UMY19" s="171"/>
      <c r="UMZ19" s="171"/>
      <c r="UNA19" s="171"/>
      <c r="UNB19" s="171"/>
      <c r="UNC19" s="171"/>
      <c r="UND19" s="171"/>
      <c r="UNE19" s="171"/>
      <c r="UNF19" s="171"/>
      <c r="UNG19" s="171"/>
      <c r="UNH19" s="171"/>
      <c r="UNI19" s="171"/>
      <c r="UNJ19" s="171"/>
      <c r="UNK19" s="171"/>
      <c r="UNL19" s="171"/>
      <c r="UNM19" s="171"/>
      <c r="UNN19" s="171"/>
      <c r="UNO19" s="171"/>
      <c r="UNP19" s="171"/>
      <c r="UNQ19" s="171"/>
      <c r="UNR19" s="171"/>
      <c r="UNS19" s="171"/>
      <c r="UNT19" s="171"/>
      <c r="UNU19" s="171"/>
      <c r="UNV19" s="171"/>
      <c r="UNW19" s="171"/>
      <c r="UNX19" s="171"/>
      <c r="UNY19" s="171"/>
      <c r="UNZ19" s="171"/>
      <c r="UOA19" s="171"/>
      <c r="UOB19" s="171"/>
      <c r="UOC19" s="171"/>
      <c r="UOD19" s="171"/>
      <c r="UOE19" s="171"/>
      <c r="UOF19" s="171"/>
      <c r="UOG19" s="171"/>
      <c r="UOH19" s="171"/>
      <c r="UOI19" s="171"/>
      <c r="UOJ19" s="171"/>
      <c r="UOK19" s="171"/>
      <c r="UOL19" s="171"/>
      <c r="UOM19" s="171"/>
      <c r="UON19" s="171"/>
      <c r="UOO19" s="171"/>
      <c r="UOP19" s="171"/>
      <c r="UOQ19" s="171"/>
      <c r="UOR19" s="171"/>
      <c r="UOS19" s="171"/>
      <c r="UOT19" s="171"/>
      <c r="UOU19" s="171"/>
      <c r="UOV19" s="171"/>
      <c r="UOW19" s="171"/>
      <c r="UOX19" s="171"/>
      <c r="UOY19" s="171"/>
      <c r="UOZ19" s="171"/>
      <c r="UPA19" s="171"/>
      <c r="UPB19" s="171"/>
      <c r="UPC19" s="171"/>
      <c r="UPD19" s="171"/>
      <c r="UPE19" s="171"/>
      <c r="UPF19" s="171"/>
      <c r="UPG19" s="171"/>
      <c r="UPH19" s="171"/>
      <c r="UPI19" s="171"/>
      <c r="UPJ19" s="171"/>
      <c r="UPK19" s="171"/>
      <c r="UPL19" s="171"/>
      <c r="UPM19" s="171"/>
      <c r="UPN19" s="171"/>
      <c r="UPO19" s="171"/>
      <c r="UPP19" s="171"/>
      <c r="UPQ19" s="171"/>
      <c r="UPR19" s="171"/>
      <c r="UPS19" s="171"/>
      <c r="UPT19" s="171"/>
      <c r="UPU19" s="171"/>
      <c r="UPV19" s="171"/>
      <c r="UPW19" s="171"/>
      <c r="UPX19" s="171"/>
      <c r="UPY19" s="171"/>
      <c r="UPZ19" s="171"/>
      <c r="UQA19" s="171"/>
      <c r="UQB19" s="171"/>
      <c r="UQC19" s="171"/>
      <c r="UQD19" s="171"/>
      <c r="UQE19" s="171"/>
      <c r="UQF19" s="171"/>
      <c r="UQG19" s="171"/>
      <c r="UQH19" s="171"/>
      <c r="UQI19" s="171"/>
      <c r="UQJ19" s="171"/>
      <c r="UQK19" s="171"/>
      <c r="UQL19" s="171"/>
      <c r="UQM19" s="171"/>
      <c r="UQN19" s="171"/>
      <c r="UQO19" s="171"/>
      <c r="UQP19" s="171"/>
      <c r="UQQ19" s="171"/>
      <c r="UQR19" s="171"/>
      <c r="UQS19" s="171"/>
      <c r="UQT19" s="171"/>
      <c r="UQU19" s="171"/>
      <c r="UQV19" s="171"/>
      <c r="UQW19" s="171"/>
      <c r="UQX19" s="171"/>
      <c r="UQY19" s="171"/>
      <c r="UQZ19" s="171"/>
      <c r="URA19" s="171"/>
      <c r="URB19" s="171"/>
      <c r="URC19" s="171"/>
      <c r="URD19" s="171"/>
      <c r="URE19" s="171"/>
      <c r="URF19" s="171"/>
      <c r="URG19" s="171"/>
      <c r="URH19" s="171"/>
      <c r="URI19" s="171"/>
      <c r="URJ19" s="171"/>
      <c r="URK19" s="171"/>
      <c r="URL19" s="171"/>
      <c r="URM19" s="171"/>
      <c r="URN19" s="171"/>
      <c r="URO19" s="171"/>
      <c r="URP19" s="171"/>
      <c r="URQ19" s="171"/>
      <c r="URR19" s="171"/>
      <c r="URS19" s="171"/>
      <c r="URT19" s="171"/>
      <c r="URU19" s="171"/>
      <c r="URV19" s="171"/>
      <c r="URW19" s="171"/>
      <c r="URX19" s="171"/>
      <c r="URY19" s="171"/>
      <c r="URZ19" s="171"/>
      <c r="USA19" s="171"/>
      <c r="USB19" s="171"/>
      <c r="USC19" s="171"/>
      <c r="USD19" s="171"/>
      <c r="USE19" s="171"/>
      <c r="USF19" s="171"/>
      <c r="USG19" s="171"/>
      <c r="USH19" s="171"/>
      <c r="USI19" s="171"/>
      <c r="USJ19" s="171"/>
      <c r="USK19" s="171"/>
      <c r="USL19" s="171"/>
      <c r="USM19" s="171"/>
      <c r="USN19" s="171"/>
      <c r="USO19" s="171"/>
      <c r="USP19" s="171"/>
      <c r="USQ19" s="171"/>
      <c r="USR19" s="171"/>
      <c r="USS19" s="171"/>
      <c r="UST19" s="171"/>
      <c r="USU19" s="171"/>
      <c r="USV19" s="171"/>
      <c r="USW19" s="171"/>
      <c r="USX19" s="171"/>
      <c r="USY19" s="171"/>
      <c r="USZ19" s="171"/>
      <c r="UTA19" s="171"/>
      <c r="UTB19" s="171"/>
      <c r="UTC19" s="171"/>
      <c r="UTD19" s="171"/>
      <c r="UTE19" s="171"/>
      <c r="UTF19" s="171"/>
      <c r="UTG19" s="171"/>
      <c r="UTH19" s="171"/>
      <c r="UTI19" s="171"/>
      <c r="UTJ19" s="171"/>
      <c r="UTK19" s="171"/>
      <c r="UTL19" s="171"/>
      <c r="UTM19" s="171"/>
      <c r="UTN19" s="171"/>
      <c r="UTO19" s="171"/>
      <c r="UTP19" s="171"/>
      <c r="UTQ19" s="171"/>
      <c r="UTR19" s="171"/>
      <c r="UTS19" s="171"/>
      <c r="UTT19" s="171"/>
      <c r="UTU19" s="171"/>
      <c r="UTV19" s="171"/>
      <c r="UTW19" s="171"/>
      <c r="UTX19" s="171"/>
      <c r="UTY19" s="171"/>
      <c r="UTZ19" s="171"/>
      <c r="UUA19" s="171"/>
      <c r="UUB19" s="171"/>
      <c r="UUC19" s="171"/>
      <c r="UUD19" s="171"/>
      <c r="UUE19" s="171"/>
      <c r="UUF19" s="171"/>
      <c r="UUG19" s="171"/>
      <c r="UUH19" s="171"/>
      <c r="UUI19" s="171"/>
      <c r="UUJ19" s="171"/>
      <c r="UUK19" s="171"/>
      <c r="UUL19" s="171"/>
      <c r="UUM19" s="171"/>
      <c r="UUN19" s="171"/>
      <c r="UUO19" s="171"/>
      <c r="UUP19" s="171"/>
      <c r="UUQ19" s="171"/>
      <c r="UUR19" s="171"/>
      <c r="UUS19" s="171"/>
      <c r="UUT19" s="171"/>
      <c r="UUU19" s="171"/>
      <c r="UUV19" s="171"/>
      <c r="UUW19" s="171"/>
      <c r="UUX19" s="171"/>
      <c r="UUY19" s="171"/>
      <c r="UUZ19" s="171"/>
      <c r="UVA19" s="171"/>
      <c r="UVB19" s="171"/>
      <c r="UVC19" s="171"/>
      <c r="UVD19" s="171"/>
      <c r="UVE19" s="171"/>
      <c r="UVF19" s="171"/>
      <c r="UVG19" s="171"/>
      <c r="UVH19" s="171"/>
      <c r="UVI19" s="171"/>
      <c r="UVJ19" s="171"/>
      <c r="UVK19" s="171"/>
      <c r="UVL19" s="171"/>
      <c r="UVM19" s="171"/>
      <c r="UVN19" s="171"/>
      <c r="UVO19" s="171"/>
      <c r="UVP19" s="171"/>
      <c r="UVQ19" s="171"/>
      <c r="UVR19" s="171"/>
      <c r="UVS19" s="171"/>
      <c r="UVT19" s="171"/>
      <c r="UVU19" s="171"/>
      <c r="UVV19" s="171"/>
      <c r="UVW19" s="171"/>
      <c r="UVX19" s="171"/>
      <c r="UVY19" s="171"/>
      <c r="UVZ19" s="171"/>
      <c r="UWA19" s="171"/>
      <c r="UWB19" s="171"/>
      <c r="UWC19" s="171"/>
      <c r="UWD19" s="171"/>
      <c r="UWE19" s="171"/>
      <c r="UWF19" s="171"/>
      <c r="UWG19" s="171"/>
      <c r="UWH19" s="171"/>
      <c r="UWI19" s="171"/>
      <c r="UWJ19" s="171"/>
      <c r="UWK19" s="171"/>
      <c r="UWL19" s="171"/>
      <c r="UWM19" s="171"/>
      <c r="UWN19" s="171"/>
      <c r="UWO19" s="171"/>
      <c r="UWP19" s="171"/>
      <c r="UWQ19" s="171"/>
      <c r="UWR19" s="171"/>
      <c r="UWS19" s="171"/>
      <c r="UWT19" s="171"/>
      <c r="UWU19" s="171"/>
      <c r="UWV19" s="171"/>
      <c r="UWW19" s="171"/>
      <c r="UWX19" s="171"/>
      <c r="UWY19" s="171"/>
      <c r="UWZ19" s="171"/>
      <c r="UXA19" s="171"/>
      <c r="UXB19" s="171"/>
      <c r="UXC19" s="171"/>
      <c r="UXD19" s="171"/>
      <c r="UXE19" s="171"/>
      <c r="UXF19" s="171"/>
      <c r="UXG19" s="171"/>
      <c r="UXH19" s="171"/>
      <c r="UXI19" s="171"/>
      <c r="UXJ19" s="171"/>
      <c r="UXK19" s="171"/>
      <c r="UXL19" s="171"/>
      <c r="UXM19" s="171"/>
      <c r="UXN19" s="171"/>
      <c r="UXO19" s="171"/>
      <c r="UXP19" s="171"/>
      <c r="UXQ19" s="171"/>
      <c r="UXR19" s="171"/>
      <c r="UXS19" s="171"/>
      <c r="UXT19" s="171"/>
      <c r="UXU19" s="171"/>
      <c r="UXV19" s="171"/>
      <c r="UXW19" s="171"/>
      <c r="UXX19" s="171"/>
      <c r="UXY19" s="171"/>
      <c r="UXZ19" s="171"/>
      <c r="UYA19" s="171"/>
      <c r="UYB19" s="171"/>
      <c r="UYC19" s="171"/>
      <c r="UYD19" s="171"/>
      <c r="UYE19" s="171"/>
      <c r="UYF19" s="171"/>
      <c r="UYG19" s="171"/>
      <c r="UYH19" s="171"/>
      <c r="UYI19" s="171"/>
      <c r="UYJ19" s="171"/>
      <c r="UYK19" s="171"/>
      <c r="UYL19" s="171"/>
      <c r="UYM19" s="171"/>
      <c r="UYN19" s="171"/>
      <c r="UYO19" s="171"/>
      <c r="UYP19" s="171"/>
      <c r="UYQ19" s="171"/>
      <c r="UYR19" s="171"/>
      <c r="UYS19" s="171"/>
      <c r="UYT19" s="171"/>
      <c r="UYU19" s="171"/>
      <c r="UYV19" s="171"/>
      <c r="UYW19" s="171"/>
      <c r="UYX19" s="171"/>
      <c r="UYY19" s="171"/>
      <c r="UYZ19" s="171"/>
      <c r="UZA19" s="171"/>
      <c r="UZB19" s="171"/>
      <c r="UZC19" s="171"/>
      <c r="UZD19" s="171"/>
      <c r="UZE19" s="171"/>
      <c r="UZF19" s="171"/>
      <c r="UZG19" s="171"/>
      <c r="UZH19" s="171"/>
      <c r="UZI19" s="171"/>
      <c r="UZJ19" s="171"/>
      <c r="UZK19" s="171"/>
      <c r="UZL19" s="171"/>
      <c r="UZM19" s="171"/>
      <c r="UZN19" s="171"/>
      <c r="UZO19" s="171"/>
      <c r="UZP19" s="171"/>
      <c r="UZQ19" s="171"/>
      <c r="UZR19" s="171"/>
      <c r="UZS19" s="171"/>
      <c r="UZT19" s="171"/>
      <c r="UZU19" s="171"/>
      <c r="UZV19" s="171"/>
      <c r="UZW19" s="171"/>
      <c r="UZX19" s="171"/>
      <c r="UZY19" s="171"/>
      <c r="UZZ19" s="171"/>
      <c r="VAA19" s="171"/>
      <c r="VAB19" s="171"/>
      <c r="VAC19" s="171"/>
      <c r="VAD19" s="171"/>
      <c r="VAE19" s="171"/>
      <c r="VAF19" s="171"/>
      <c r="VAG19" s="171"/>
      <c r="VAH19" s="171"/>
      <c r="VAI19" s="171"/>
      <c r="VAJ19" s="171"/>
      <c r="VAK19" s="171"/>
      <c r="VAL19" s="171"/>
      <c r="VAM19" s="171"/>
      <c r="VAN19" s="171"/>
      <c r="VAO19" s="171"/>
      <c r="VAP19" s="171"/>
      <c r="VAQ19" s="171"/>
      <c r="VAR19" s="171"/>
      <c r="VAS19" s="171"/>
      <c r="VAT19" s="171"/>
      <c r="VAU19" s="171"/>
      <c r="VAV19" s="171"/>
      <c r="VAW19" s="171"/>
      <c r="VAX19" s="171"/>
      <c r="VAY19" s="171"/>
      <c r="VAZ19" s="171"/>
      <c r="VBA19" s="171"/>
      <c r="VBB19" s="171"/>
      <c r="VBC19" s="171"/>
      <c r="VBD19" s="171"/>
      <c r="VBE19" s="171"/>
      <c r="VBF19" s="171"/>
      <c r="VBG19" s="171"/>
      <c r="VBH19" s="171"/>
      <c r="VBI19" s="171"/>
      <c r="VBJ19" s="171"/>
      <c r="VBK19" s="171"/>
      <c r="VBL19" s="171"/>
      <c r="VBM19" s="171"/>
      <c r="VBN19" s="171"/>
      <c r="VBO19" s="171"/>
      <c r="VBP19" s="171"/>
      <c r="VBQ19" s="171"/>
      <c r="VBR19" s="171"/>
      <c r="VBS19" s="171"/>
      <c r="VBT19" s="171"/>
      <c r="VBU19" s="171"/>
      <c r="VBV19" s="171"/>
      <c r="VBW19" s="171"/>
      <c r="VBX19" s="171"/>
      <c r="VBY19" s="171"/>
      <c r="VBZ19" s="171"/>
      <c r="VCA19" s="171"/>
      <c r="VCB19" s="171"/>
      <c r="VCC19" s="171"/>
      <c r="VCD19" s="171"/>
      <c r="VCE19" s="171"/>
      <c r="VCF19" s="171"/>
      <c r="VCG19" s="171"/>
      <c r="VCH19" s="171"/>
      <c r="VCI19" s="171"/>
      <c r="VCJ19" s="171"/>
      <c r="VCK19" s="171"/>
      <c r="VCL19" s="171"/>
      <c r="VCM19" s="171"/>
      <c r="VCN19" s="171"/>
      <c r="VCO19" s="171"/>
      <c r="VCP19" s="171"/>
      <c r="VCQ19" s="171"/>
      <c r="VCR19" s="171"/>
      <c r="VCS19" s="171"/>
      <c r="VCT19" s="171"/>
      <c r="VCU19" s="171"/>
      <c r="VCV19" s="171"/>
      <c r="VCW19" s="171"/>
      <c r="VCX19" s="171"/>
      <c r="VCY19" s="171"/>
      <c r="VCZ19" s="171"/>
      <c r="VDA19" s="171"/>
      <c r="VDB19" s="171"/>
      <c r="VDC19" s="171"/>
      <c r="VDD19" s="171"/>
      <c r="VDE19" s="171"/>
      <c r="VDF19" s="171"/>
      <c r="VDG19" s="171"/>
      <c r="VDH19" s="171"/>
      <c r="VDI19" s="171"/>
      <c r="VDJ19" s="171"/>
      <c r="VDK19" s="171"/>
      <c r="VDL19" s="171"/>
      <c r="VDM19" s="171"/>
      <c r="VDN19" s="171"/>
      <c r="VDO19" s="171"/>
      <c r="VDP19" s="171"/>
      <c r="VDQ19" s="171"/>
      <c r="VDR19" s="171"/>
      <c r="VDS19" s="171"/>
      <c r="VDT19" s="171"/>
      <c r="VDU19" s="171"/>
      <c r="VDV19" s="171"/>
      <c r="VDW19" s="171"/>
      <c r="VDX19" s="171"/>
      <c r="VDY19" s="171"/>
      <c r="VDZ19" s="171"/>
      <c r="VEA19" s="171"/>
      <c r="VEB19" s="171"/>
      <c r="VEC19" s="171"/>
      <c r="VED19" s="171"/>
      <c r="VEE19" s="171"/>
      <c r="VEF19" s="171"/>
      <c r="VEG19" s="171"/>
      <c r="VEH19" s="171"/>
      <c r="VEI19" s="171"/>
      <c r="VEJ19" s="171"/>
      <c r="VEK19" s="171"/>
      <c r="VEL19" s="171"/>
      <c r="VEM19" s="171"/>
      <c r="VEN19" s="171"/>
      <c r="VEO19" s="171"/>
      <c r="VEP19" s="171"/>
      <c r="VEQ19" s="171"/>
      <c r="VER19" s="171"/>
      <c r="VES19" s="171"/>
      <c r="VET19" s="171"/>
      <c r="VEU19" s="171"/>
      <c r="VEV19" s="171"/>
      <c r="VEW19" s="171"/>
      <c r="VEX19" s="171"/>
      <c r="VEY19" s="171"/>
      <c r="VEZ19" s="171"/>
      <c r="VFA19" s="171"/>
      <c r="VFB19" s="171"/>
      <c r="VFC19" s="171"/>
      <c r="VFD19" s="171"/>
      <c r="VFE19" s="171"/>
      <c r="VFF19" s="171"/>
      <c r="VFG19" s="171"/>
      <c r="VFH19" s="171"/>
      <c r="VFI19" s="171"/>
      <c r="VFJ19" s="171"/>
      <c r="VFK19" s="171"/>
      <c r="VFL19" s="171"/>
      <c r="VFM19" s="171"/>
      <c r="VFN19" s="171"/>
      <c r="VFO19" s="171"/>
      <c r="VFP19" s="171"/>
      <c r="VFQ19" s="171"/>
      <c r="VFR19" s="171"/>
      <c r="VFS19" s="171"/>
      <c r="VFT19" s="171"/>
      <c r="VFU19" s="171"/>
      <c r="VFV19" s="171"/>
      <c r="VFW19" s="171"/>
      <c r="VFX19" s="171"/>
      <c r="VFY19" s="171"/>
      <c r="VFZ19" s="171"/>
      <c r="VGA19" s="171"/>
      <c r="VGB19" s="171"/>
      <c r="VGC19" s="171"/>
      <c r="VGD19" s="171"/>
      <c r="VGE19" s="171"/>
      <c r="VGF19" s="171"/>
      <c r="VGG19" s="171"/>
      <c r="VGH19" s="171"/>
      <c r="VGI19" s="171"/>
      <c r="VGJ19" s="171"/>
      <c r="VGK19" s="171"/>
      <c r="VGL19" s="171"/>
      <c r="VGM19" s="171"/>
      <c r="VGN19" s="171"/>
      <c r="VGO19" s="171"/>
      <c r="VGP19" s="171"/>
      <c r="VGQ19" s="171"/>
      <c r="VGR19" s="171"/>
      <c r="VGS19" s="171"/>
      <c r="VGT19" s="171"/>
      <c r="VGU19" s="171"/>
      <c r="VGV19" s="171"/>
      <c r="VGW19" s="171"/>
      <c r="VGX19" s="171"/>
      <c r="VGY19" s="171"/>
      <c r="VGZ19" s="171"/>
      <c r="VHA19" s="171"/>
      <c r="VHB19" s="171"/>
      <c r="VHC19" s="171"/>
      <c r="VHD19" s="171"/>
      <c r="VHE19" s="171"/>
      <c r="VHF19" s="171"/>
      <c r="VHG19" s="171"/>
      <c r="VHH19" s="171"/>
      <c r="VHI19" s="171"/>
      <c r="VHJ19" s="171"/>
      <c r="VHK19" s="171"/>
      <c r="VHL19" s="171"/>
      <c r="VHM19" s="171"/>
      <c r="VHN19" s="171"/>
      <c r="VHO19" s="171"/>
      <c r="VHP19" s="171"/>
      <c r="VHQ19" s="171"/>
      <c r="VHR19" s="171"/>
      <c r="VHS19" s="171"/>
      <c r="VHT19" s="171"/>
      <c r="VHU19" s="171"/>
      <c r="VHV19" s="171"/>
      <c r="VHW19" s="171"/>
      <c r="VHX19" s="171"/>
      <c r="VHY19" s="171"/>
      <c r="VHZ19" s="171"/>
      <c r="VIA19" s="171"/>
      <c r="VIB19" s="171"/>
      <c r="VIC19" s="171"/>
      <c r="VID19" s="171"/>
      <c r="VIE19" s="171"/>
      <c r="VIF19" s="171"/>
      <c r="VIG19" s="171"/>
      <c r="VIH19" s="171"/>
      <c r="VII19" s="171"/>
      <c r="VIJ19" s="171"/>
      <c r="VIK19" s="171"/>
      <c r="VIL19" s="171"/>
      <c r="VIM19" s="171"/>
      <c r="VIN19" s="171"/>
      <c r="VIO19" s="171"/>
      <c r="VIP19" s="171"/>
      <c r="VIQ19" s="171"/>
      <c r="VIR19" s="171"/>
      <c r="VIS19" s="171"/>
      <c r="VIT19" s="171"/>
      <c r="VIU19" s="171"/>
      <c r="VIV19" s="171"/>
      <c r="VIW19" s="171"/>
      <c r="VIX19" s="171"/>
      <c r="VIY19" s="171"/>
      <c r="VIZ19" s="171"/>
      <c r="VJA19" s="171"/>
      <c r="VJB19" s="171"/>
      <c r="VJC19" s="171"/>
      <c r="VJD19" s="171"/>
      <c r="VJE19" s="171"/>
      <c r="VJF19" s="171"/>
      <c r="VJG19" s="171"/>
      <c r="VJH19" s="171"/>
      <c r="VJI19" s="171"/>
      <c r="VJJ19" s="171"/>
      <c r="VJK19" s="171"/>
      <c r="VJL19" s="171"/>
      <c r="VJM19" s="171"/>
      <c r="VJN19" s="171"/>
      <c r="VJO19" s="171"/>
      <c r="VJP19" s="171"/>
      <c r="VJQ19" s="171"/>
      <c r="VJR19" s="171"/>
      <c r="VJS19" s="171"/>
      <c r="VJT19" s="171"/>
      <c r="VJU19" s="171"/>
      <c r="VJV19" s="171"/>
      <c r="VJW19" s="171"/>
      <c r="VJX19" s="171"/>
      <c r="VJY19" s="171"/>
      <c r="VJZ19" s="171"/>
      <c r="VKA19" s="171"/>
      <c r="VKB19" s="171"/>
      <c r="VKC19" s="171"/>
      <c r="VKD19" s="171"/>
      <c r="VKE19" s="171"/>
      <c r="VKF19" s="171"/>
      <c r="VKG19" s="171"/>
      <c r="VKH19" s="171"/>
      <c r="VKI19" s="171"/>
      <c r="VKJ19" s="171"/>
      <c r="VKK19" s="171"/>
      <c r="VKL19" s="171"/>
      <c r="VKM19" s="171"/>
      <c r="VKN19" s="171"/>
      <c r="VKO19" s="171"/>
      <c r="VKP19" s="171"/>
      <c r="VKQ19" s="171"/>
      <c r="VKR19" s="171"/>
      <c r="VKS19" s="171"/>
      <c r="VKT19" s="171"/>
      <c r="VKU19" s="171"/>
      <c r="VKV19" s="171"/>
      <c r="VKW19" s="171"/>
      <c r="VKX19" s="171"/>
      <c r="VKY19" s="171"/>
      <c r="VKZ19" s="171"/>
      <c r="VLA19" s="171"/>
      <c r="VLB19" s="171"/>
      <c r="VLC19" s="171"/>
      <c r="VLD19" s="171"/>
      <c r="VLE19" s="171"/>
      <c r="VLF19" s="171"/>
      <c r="VLG19" s="171"/>
      <c r="VLH19" s="171"/>
      <c r="VLI19" s="171"/>
      <c r="VLJ19" s="171"/>
      <c r="VLK19" s="171"/>
      <c r="VLL19" s="171"/>
      <c r="VLM19" s="171"/>
      <c r="VLN19" s="171"/>
      <c r="VLO19" s="171"/>
      <c r="VLP19" s="171"/>
      <c r="VLQ19" s="171"/>
      <c r="VLR19" s="171"/>
      <c r="VLS19" s="171"/>
      <c r="VLT19" s="171"/>
      <c r="VLU19" s="171"/>
      <c r="VLV19" s="171"/>
      <c r="VLW19" s="171"/>
      <c r="VLX19" s="171"/>
      <c r="VLY19" s="171"/>
      <c r="VLZ19" s="171"/>
      <c r="VMA19" s="171"/>
      <c r="VMB19" s="171"/>
      <c r="VMC19" s="171"/>
      <c r="VMD19" s="171"/>
      <c r="VME19" s="171"/>
      <c r="VMF19" s="171"/>
      <c r="VMG19" s="171"/>
      <c r="VMH19" s="171"/>
      <c r="VMI19" s="171"/>
      <c r="VMJ19" s="171"/>
      <c r="VMK19" s="171"/>
      <c r="VML19" s="171"/>
      <c r="VMM19" s="171"/>
      <c r="VMN19" s="171"/>
      <c r="VMO19" s="171"/>
      <c r="VMP19" s="171"/>
      <c r="VMQ19" s="171"/>
      <c r="VMR19" s="171"/>
      <c r="VMS19" s="171"/>
      <c r="VMT19" s="171"/>
      <c r="VMU19" s="171"/>
      <c r="VMV19" s="171"/>
      <c r="VMW19" s="171"/>
      <c r="VMX19" s="171"/>
      <c r="VMY19" s="171"/>
      <c r="VMZ19" s="171"/>
      <c r="VNA19" s="171"/>
      <c r="VNB19" s="171"/>
      <c r="VNC19" s="171"/>
      <c r="VND19" s="171"/>
      <c r="VNE19" s="171"/>
      <c r="VNF19" s="171"/>
      <c r="VNG19" s="171"/>
      <c r="VNH19" s="171"/>
      <c r="VNI19" s="171"/>
      <c r="VNJ19" s="171"/>
      <c r="VNK19" s="171"/>
      <c r="VNL19" s="171"/>
      <c r="VNM19" s="171"/>
      <c r="VNN19" s="171"/>
      <c r="VNO19" s="171"/>
      <c r="VNP19" s="171"/>
      <c r="VNQ19" s="171"/>
      <c r="VNR19" s="171"/>
      <c r="VNS19" s="171"/>
      <c r="VNT19" s="171"/>
      <c r="VNU19" s="171"/>
      <c r="VNV19" s="171"/>
      <c r="VNW19" s="171"/>
      <c r="VNX19" s="171"/>
      <c r="VNY19" s="171"/>
      <c r="VNZ19" s="171"/>
      <c r="VOA19" s="171"/>
      <c r="VOB19" s="171"/>
      <c r="VOC19" s="171"/>
      <c r="VOD19" s="171"/>
      <c r="VOE19" s="171"/>
      <c r="VOF19" s="171"/>
      <c r="VOG19" s="171"/>
      <c r="VOH19" s="171"/>
      <c r="VOI19" s="171"/>
      <c r="VOJ19" s="171"/>
      <c r="VOK19" s="171"/>
      <c r="VOL19" s="171"/>
      <c r="VOM19" s="171"/>
      <c r="VON19" s="171"/>
      <c r="VOO19" s="171"/>
      <c r="VOP19" s="171"/>
      <c r="VOQ19" s="171"/>
      <c r="VOR19" s="171"/>
      <c r="VOS19" s="171"/>
      <c r="VOT19" s="171"/>
      <c r="VOU19" s="171"/>
      <c r="VOV19" s="171"/>
      <c r="VOW19" s="171"/>
      <c r="VOX19" s="171"/>
      <c r="VOY19" s="171"/>
      <c r="VOZ19" s="171"/>
      <c r="VPA19" s="171"/>
      <c r="VPB19" s="171"/>
      <c r="VPC19" s="171"/>
      <c r="VPD19" s="171"/>
      <c r="VPE19" s="171"/>
      <c r="VPF19" s="171"/>
      <c r="VPG19" s="171"/>
      <c r="VPH19" s="171"/>
      <c r="VPI19" s="171"/>
      <c r="VPJ19" s="171"/>
      <c r="VPK19" s="171"/>
      <c r="VPL19" s="171"/>
      <c r="VPM19" s="171"/>
      <c r="VPN19" s="171"/>
      <c r="VPO19" s="171"/>
      <c r="VPP19" s="171"/>
      <c r="VPQ19" s="171"/>
      <c r="VPR19" s="171"/>
      <c r="VPS19" s="171"/>
      <c r="VPT19" s="171"/>
      <c r="VPU19" s="171"/>
      <c r="VPV19" s="171"/>
      <c r="VPW19" s="171"/>
      <c r="VPX19" s="171"/>
      <c r="VPY19" s="171"/>
      <c r="VPZ19" s="171"/>
      <c r="VQA19" s="171"/>
      <c r="VQB19" s="171"/>
      <c r="VQC19" s="171"/>
      <c r="VQD19" s="171"/>
      <c r="VQE19" s="171"/>
      <c r="VQF19" s="171"/>
      <c r="VQG19" s="171"/>
      <c r="VQH19" s="171"/>
      <c r="VQI19" s="171"/>
      <c r="VQJ19" s="171"/>
      <c r="VQK19" s="171"/>
      <c r="VQL19" s="171"/>
      <c r="VQM19" s="171"/>
      <c r="VQN19" s="171"/>
      <c r="VQO19" s="171"/>
      <c r="VQP19" s="171"/>
      <c r="VQQ19" s="171"/>
      <c r="VQR19" s="171"/>
      <c r="VQS19" s="171"/>
      <c r="VQT19" s="171"/>
      <c r="VQU19" s="171"/>
      <c r="VQV19" s="171"/>
      <c r="VQW19" s="171"/>
      <c r="VQX19" s="171"/>
      <c r="VQY19" s="171"/>
      <c r="VQZ19" s="171"/>
      <c r="VRA19" s="171"/>
      <c r="VRB19" s="171"/>
      <c r="VRC19" s="171"/>
      <c r="VRD19" s="171"/>
      <c r="VRE19" s="171"/>
      <c r="VRF19" s="171"/>
      <c r="VRG19" s="171"/>
      <c r="VRH19" s="171"/>
      <c r="VRI19" s="171"/>
      <c r="VRJ19" s="171"/>
      <c r="VRK19" s="171"/>
      <c r="VRL19" s="171"/>
      <c r="VRM19" s="171"/>
      <c r="VRN19" s="171"/>
      <c r="VRO19" s="171"/>
      <c r="VRP19" s="171"/>
      <c r="VRQ19" s="171"/>
      <c r="VRR19" s="171"/>
      <c r="VRS19" s="171"/>
      <c r="VRT19" s="171"/>
      <c r="VRU19" s="171"/>
      <c r="VRV19" s="171"/>
      <c r="VRW19" s="171"/>
      <c r="VRX19" s="171"/>
      <c r="VRY19" s="171"/>
      <c r="VRZ19" s="171"/>
      <c r="VSA19" s="171"/>
      <c r="VSB19" s="171"/>
      <c r="VSC19" s="171"/>
      <c r="VSD19" s="171"/>
      <c r="VSE19" s="171"/>
      <c r="VSF19" s="171"/>
      <c r="VSG19" s="171"/>
      <c r="VSH19" s="171"/>
      <c r="VSI19" s="171"/>
      <c r="VSJ19" s="171"/>
      <c r="VSK19" s="171"/>
      <c r="VSL19" s="171"/>
      <c r="VSM19" s="171"/>
      <c r="VSN19" s="171"/>
      <c r="VSO19" s="171"/>
      <c r="VSP19" s="171"/>
      <c r="VSQ19" s="171"/>
      <c r="VSR19" s="171"/>
      <c r="VSS19" s="171"/>
      <c r="VST19" s="171"/>
      <c r="VSU19" s="171"/>
      <c r="VSV19" s="171"/>
      <c r="VSW19" s="171"/>
      <c r="VSX19" s="171"/>
      <c r="VSY19" s="171"/>
      <c r="VSZ19" s="171"/>
      <c r="VTA19" s="171"/>
      <c r="VTB19" s="171"/>
      <c r="VTC19" s="171"/>
      <c r="VTD19" s="171"/>
      <c r="VTE19" s="171"/>
      <c r="VTF19" s="171"/>
      <c r="VTG19" s="171"/>
      <c r="VTH19" s="171"/>
      <c r="VTI19" s="171"/>
      <c r="VTJ19" s="171"/>
      <c r="VTK19" s="171"/>
      <c r="VTL19" s="171"/>
      <c r="VTM19" s="171"/>
      <c r="VTN19" s="171"/>
      <c r="VTO19" s="171"/>
      <c r="VTP19" s="171"/>
      <c r="VTQ19" s="171"/>
      <c r="VTR19" s="171"/>
      <c r="VTS19" s="171"/>
      <c r="VTT19" s="171"/>
      <c r="VTU19" s="171"/>
      <c r="VTV19" s="171"/>
      <c r="VTW19" s="171"/>
      <c r="VTX19" s="171"/>
      <c r="VTY19" s="171"/>
      <c r="VTZ19" s="171"/>
      <c r="VUA19" s="171"/>
      <c r="VUB19" s="171"/>
      <c r="VUC19" s="171"/>
      <c r="VUD19" s="171"/>
      <c r="VUE19" s="171"/>
      <c r="VUF19" s="171"/>
      <c r="VUG19" s="171"/>
      <c r="VUH19" s="171"/>
      <c r="VUI19" s="171"/>
      <c r="VUJ19" s="171"/>
      <c r="VUK19" s="171"/>
      <c r="VUL19" s="171"/>
      <c r="VUM19" s="171"/>
      <c r="VUN19" s="171"/>
      <c r="VUO19" s="171"/>
      <c r="VUP19" s="171"/>
      <c r="VUQ19" s="171"/>
      <c r="VUR19" s="171"/>
      <c r="VUS19" s="171"/>
      <c r="VUT19" s="171"/>
      <c r="VUU19" s="171"/>
      <c r="VUV19" s="171"/>
      <c r="VUW19" s="171"/>
      <c r="VUX19" s="171"/>
      <c r="VUY19" s="171"/>
      <c r="VUZ19" s="171"/>
      <c r="VVA19" s="171"/>
      <c r="VVB19" s="171"/>
      <c r="VVC19" s="171"/>
      <c r="VVD19" s="171"/>
      <c r="VVE19" s="171"/>
      <c r="VVF19" s="171"/>
      <c r="VVG19" s="171"/>
      <c r="VVH19" s="171"/>
      <c r="VVI19" s="171"/>
      <c r="VVJ19" s="171"/>
      <c r="VVK19" s="171"/>
      <c r="VVL19" s="171"/>
      <c r="VVM19" s="171"/>
      <c r="VVN19" s="171"/>
      <c r="VVO19" s="171"/>
      <c r="VVP19" s="171"/>
      <c r="VVQ19" s="171"/>
      <c r="VVR19" s="171"/>
      <c r="VVS19" s="171"/>
      <c r="VVT19" s="171"/>
      <c r="VVU19" s="171"/>
      <c r="VVV19" s="171"/>
      <c r="VVW19" s="171"/>
      <c r="VVX19" s="171"/>
      <c r="VVY19" s="171"/>
      <c r="VVZ19" s="171"/>
      <c r="VWA19" s="171"/>
      <c r="VWB19" s="171"/>
      <c r="VWC19" s="171"/>
      <c r="VWD19" s="171"/>
      <c r="VWE19" s="171"/>
      <c r="VWF19" s="171"/>
      <c r="VWG19" s="171"/>
      <c r="VWH19" s="171"/>
      <c r="VWI19" s="171"/>
      <c r="VWJ19" s="171"/>
      <c r="VWK19" s="171"/>
      <c r="VWL19" s="171"/>
      <c r="VWM19" s="171"/>
      <c r="VWN19" s="171"/>
      <c r="VWO19" s="171"/>
      <c r="VWP19" s="171"/>
      <c r="VWQ19" s="171"/>
      <c r="VWR19" s="171"/>
      <c r="VWS19" s="171"/>
      <c r="VWT19" s="171"/>
      <c r="VWU19" s="171"/>
      <c r="VWV19" s="171"/>
      <c r="VWW19" s="171"/>
      <c r="VWX19" s="171"/>
      <c r="VWY19" s="171"/>
      <c r="VWZ19" s="171"/>
      <c r="VXA19" s="171"/>
      <c r="VXB19" s="171"/>
      <c r="VXC19" s="171"/>
      <c r="VXD19" s="171"/>
      <c r="VXE19" s="171"/>
      <c r="VXF19" s="171"/>
      <c r="VXG19" s="171"/>
      <c r="VXH19" s="171"/>
      <c r="VXI19" s="171"/>
      <c r="VXJ19" s="171"/>
      <c r="VXK19" s="171"/>
      <c r="VXL19" s="171"/>
      <c r="VXM19" s="171"/>
      <c r="VXN19" s="171"/>
      <c r="VXO19" s="171"/>
      <c r="VXP19" s="171"/>
      <c r="VXQ19" s="171"/>
      <c r="VXR19" s="171"/>
      <c r="VXS19" s="171"/>
      <c r="VXT19" s="171"/>
      <c r="VXU19" s="171"/>
      <c r="VXV19" s="171"/>
      <c r="VXW19" s="171"/>
      <c r="VXX19" s="171"/>
      <c r="VXY19" s="171"/>
      <c r="VXZ19" s="171"/>
      <c r="VYA19" s="171"/>
      <c r="VYB19" s="171"/>
      <c r="VYC19" s="171"/>
      <c r="VYD19" s="171"/>
      <c r="VYE19" s="171"/>
      <c r="VYF19" s="171"/>
      <c r="VYG19" s="171"/>
      <c r="VYH19" s="171"/>
      <c r="VYI19" s="171"/>
      <c r="VYJ19" s="171"/>
      <c r="VYK19" s="171"/>
      <c r="VYL19" s="171"/>
      <c r="VYM19" s="171"/>
      <c r="VYN19" s="171"/>
      <c r="VYO19" s="171"/>
      <c r="VYP19" s="171"/>
      <c r="VYQ19" s="171"/>
      <c r="VYR19" s="171"/>
      <c r="VYS19" s="171"/>
      <c r="VYT19" s="171"/>
      <c r="VYU19" s="171"/>
      <c r="VYV19" s="171"/>
      <c r="VYW19" s="171"/>
      <c r="VYX19" s="171"/>
      <c r="VYY19" s="171"/>
      <c r="VYZ19" s="171"/>
      <c r="VZA19" s="171"/>
      <c r="VZB19" s="171"/>
      <c r="VZC19" s="171"/>
      <c r="VZD19" s="171"/>
      <c r="VZE19" s="171"/>
      <c r="VZF19" s="171"/>
      <c r="VZG19" s="171"/>
      <c r="VZH19" s="171"/>
      <c r="VZI19" s="171"/>
      <c r="VZJ19" s="171"/>
      <c r="VZK19" s="171"/>
      <c r="VZL19" s="171"/>
      <c r="VZM19" s="171"/>
      <c r="VZN19" s="171"/>
      <c r="VZO19" s="171"/>
      <c r="VZP19" s="171"/>
      <c r="VZQ19" s="171"/>
      <c r="VZR19" s="171"/>
      <c r="VZS19" s="171"/>
      <c r="VZT19" s="171"/>
      <c r="VZU19" s="171"/>
      <c r="VZV19" s="171"/>
      <c r="VZW19" s="171"/>
      <c r="VZX19" s="171"/>
      <c r="VZY19" s="171"/>
      <c r="VZZ19" s="171"/>
      <c r="WAA19" s="171"/>
      <c r="WAB19" s="171"/>
      <c r="WAC19" s="171"/>
      <c r="WAD19" s="171"/>
      <c r="WAE19" s="171"/>
      <c r="WAF19" s="171"/>
      <c r="WAG19" s="171"/>
      <c r="WAH19" s="171"/>
      <c r="WAI19" s="171"/>
      <c r="WAJ19" s="171"/>
      <c r="WAK19" s="171"/>
      <c r="WAL19" s="171"/>
      <c r="WAM19" s="171"/>
      <c r="WAN19" s="171"/>
      <c r="WAO19" s="171"/>
      <c r="WAP19" s="171"/>
      <c r="WAQ19" s="171"/>
      <c r="WAR19" s="171"/>
      <c r="WAS19" s="171"/>
      <c r="WAT19" s="171"/>
      <c r="WAU19" s="171"/>
      <c r="WAV19" s="171"/>
      <c r="WAW19" s="171"/>
      <c r="WAX19" s="171"/>
      <c r="WAY19" s="171"/>
      <c r="WAZ19" s="171"/>
      <c r="WBA19" s="171"/>
      <c r="WBB19" s="171"/>
      <c r="WBC19" s="171"/>
      <c r="WBD19" s="171"/>
      <c r="WBE19" s="171"/>
      <c r="WBF19" s="171"/>
      <c r="WBG19" s="171"/>
      <c r="WBH19" s="171"/>
      <c r="WBI19" s="171"/>
      <c r="WBJ19" s="171"/>
      <c r="WBK19" s="171"/>
      <c r="WBL19" s="171"/>
      <c r="WBM19" s="171"/>
      <c r="WBN19" s="171"/>
      <c r="WBO19" s="171"/>
      <c r="WBP19" s="171"/>
      <c r="WBQ19" s="171"/>
      <c r="WBR19" s="171"/>
      <c r="WBS19" s="171"/>
      <c r="WBT19" s="171"/>
      <c r="WBU19" s="171"/>
      <c r="WBV19" s="171"/>
      <c r="WBW19" s="171"/>
      <c r="WBX19" s="171"/>
      <c r="WBY19" s="171"/>
      <c r="WBZ19" s="171"/>
      <c r="WCA19" s="171"/>
      <c r="WCB19" s="171"/>
      <c r="WCC19" s="171"/>
      <c r="WCD19" s="171"/>
      <c r="WCE19" s="171"/>
      <c r="WCF19" s="171"/>
      <c r="WCG19" s="171"/>
      <c r="WCH19" s="171"/>
      <c r="WCI19" s="171"/>
      <c r="WCJ19" s="171"/>
      <c r="WCK19" s="171"/>
      <c r="WCL19" s="171"/>
      <c r="WCM19" s="171"/>
      <c r="WCN19" s="171"/>
      <c r="WCO19" s="171"/>
      <c r="WCP19" s="171"/>
      <c r="WCQ19" s="171"/>
      <c r="WCR19" s="171"/>
      <c r="WCS19" s="171"/>
      <c r="WCT19" s="171"/>
      <c r="WCU19" s="171"/>
      <c r="WCV19" s="171"/>
      <c r="WCW19" s="171"/>
      <c r="WCX19" s="171"/>
      <c r="WCY19" s="171"/>
      <c r="WCZ19" s="171"/>
      <c r="WDA19" s="171"/>
      <c r="WDB19" s="171"/>
      <c r="WDC19" s="171"/>
      <c r="WDD19" s="171"/>
      <c r="WDE19" s="171"/>
      <c r="WDF19" s="171"/>
      <c r="WDG19" s="171"/>
      <c r="WDH19" s="171"/>
      <c r="WDI19" s="171"/>
      <c r="WDJ19" s="171"/>
      <c r="WDK19" s="171"/>
      <c r="WDL19" s="171"/>
      <c r="WDM19" s="171"/>
      <c r="WDN19" s="171"/>
      <c r="WDO19" s="171"/>
      <c r="WDP19" s="171"/>
      <c r="WDQ19" s="171"/>
      <c r="WDR19" s="171"/>
      <c r="WDS19" s="171"/>
      <c r="WDT19" s="171"/>
      <c r="WDU19" s="171"/>
      <c r="WDV19" s="171"/>
      <c r="WDW19" s="171"/>
      <c r="WDX19" s="171"/>
      <c r="WDY19" s="171"/>
      <c r="WDZ19" s="171"/>
      <c r="WEA19" s="171"/>
      <c r="WEB19" s="171"/>
      <c r="WEC19" s="171"/>
      <c r="WED19" s="171"/>
      <c r="WEE19" s="171"/>
      <c r="WEF19" s="171"/>
      <c r="WEG19" s="171"/>
      <c r="WEH19" s="171"/>
      <c r="WEI19" s="171"/>
      <c r="WEJ19" s="171"/>
      <c r="WEK19" s="171"/>
      <c r="WEL19" s="171"/>
      <c r="WEM19" s="171"/>
      <c r="WEN19" s="171"/>
      <c r="WEO19" s="171"/>
      <c r="WEP19" s="171"/>
      <c r="WEQ19" s="171"/>
      <c r="WER19" s="171"/>
      <c r="WES19" s="171"/>
      <c r="WET19" s="171"/>
      <c r="WEU19" s="171"/>
      <c r="WEV19" s="171"/>
      <c r="WEW19" s="171"/>
      <c r="WEX19" s="171"/>
      <c r="WEY19" s="171"/>
      <c r="WEZ19" s="171"/>
      <c r="WFA19" s="171"/>
      <c r="WFB19" s="171"/>
      <c r="WFC19" s="171"/>
      <c r="WFD19" s="171"/>
      <c r="WFE19" s="171"/>
      <c r="WFF19" s="171"/>
      <c r="WFG19" s="171"/>
      <c r="WFH19" s="171"/>
      <c r="WFI19" s="171"/>
      <c r="WFJ19" s="171"/>
      <c r="WFK19" s="171"/>
      <c r="WFL19" s="171"/>
      <c r="WFM19" s="171"/>
      <c r="WFN19" s="171"/>
      <c r="WFO19" s="171"/>
      <c r="WFP19" s="171"/>
      <c r="WFQ19" s="171"/>
      <c r="WFR19" s="171"/>
      <c r="WFS19" s="171"/>
      <c r="WFT19" s="171"/>
      <c r="WFU19" s="171"/>
      <c r="WFV19" s="171"/>
      <c r="WFW19" s="171"/>
      <c r="WFX19" s="171"/>
      <c r="WFY19" s="171"/>
      <c r="WFZ19" s="171"/>
      <c r="WGA19" s="171"/>
      <c r="WGB19" s="171"/>
      <c r="WGC19" s="171"/>
      <c r="WGD19" s="171"/>
      <c r="WGE19" s="171"/>
      <c r="WGF19" s="171"/>
      <c r="WGG19" s="171"/>
      <c r="WGH19" s="171"/>
      <c r="WGI19" s="171"/>
      <c r="WGJ19" s="171"/>
      <c r="WGK19" s="171"/>
      <c r="WGL19" s="171"/>
      <c r="WGM19" s="171"/>
      <c r="WGN19" s="171"/>
      <c r="WGO19" s="171"/>
      <c r="WGP19" s="171"/>
      <c r="WGQ19" s="171"/>
      <c r="WGR19" s="171"/>
      <c r="WGS19" s="171"/>
      <c r="WGT19" s="171"/>
      <c r="WGU19" s="171"/>
      <c r="WGV19" s="171"/>
      <c r="WGW19" s="171"/>
      <c r="WGX19" s="171"/>
      <c r="WGY19" s="171"/>
      <c r="WGZ19" s="171"/>
      <c r="WHA19" s="171"/>
      <c r="WHB19" s="171"/>
      <c r="WHC19" s="171"/>
      <c r="WHD19" s="171"/>
      <c r="WHE19" s="171"/>
      <c r="WHF19" s="171"/>
      <c r="WHG19" s="171"/>
      <c r="WHH19" s="171"/>
      <c r="WHI19" s="171"/>
      <c r="WHJ19" s="171"/>
      <c r="WHK19" s="171"/>
      <c r="WHL19" s="171"/>
      <c r="WHM19" s="171"/>
      <c r="WHN19" s="171"/>
      <c r="WHO19" s="171"/>
      <c r="WHP19" s="171"/>
      <c r="WHQ19" s="171"/>
      <c r="WHR19" s="171"/>
      <c r="WHS19" s="171"/>
      <c r="WHT19" s="171"/>
      <c r="WHU19" s="171"/>
      <c r="WHV19" s="171"/>
      <c r="WHW19" s="171"/>
      <c r="WHX19" s="171"/>
      <c r="WHY19" s="171"/>
      <c r="WHZ19" s="171"/>
      <c r="WIA19" s="171"/>
      <c r="WIB19" s="171"/>
      <c r="WIC19" s="171"/>
      <c r="WID19" s="171"/>
      <c r="WIE19" s="171"/>
      <c r="WIF19" s="171"/>
      <c r="WIG19" s="171"/>
      <c r="WIH19" s="171"/>
      <c r="WII19" s="171"/>
      <c r="WIJ19" s="171"/>
      <c r="WIK19" s="171"/>
      <c r="WIL19" s="171"/>
      <c r="WIM19" s="171"/>
      <c r="WIN19" s="171"/>
      <c r="WIO19" s="171"/>
      <c r="WIP19" s="171"/>
      <c r="WIQ19" s="171"/>
      <c r="WIR19" s="171"/>
      <c r="WIS19" s="171"/>
      <c r="WIT19" s="171"/>
      <c r="WIU19" s="171"/>
      <c r="WIV19" s="171"/>
      <c r="WIW19" s="171"/>
      <c r="WIX19" s="171"/>
      <c r="WIY19" s="171"/>
      <c r="WIZ19" s="171"/>
      <c r="WJA19" s="171"/>
      <c r="WJB19" s="171"/>
      <c r="WJC19" s="171"/>
      <c r="WJD19" s="171"/>
      <c r="WJE19" s="171"/>
      <c r="WJF19" s="171"/>
      <c r="WJG19" s="171"/>
      <c r="WJH19" s="171"/>
      <c r="WJI19" s="171"/>
      <c r="WJJ19" s="171"/>
      <c r="WJK19" s="171"/>
      <c r="WJL19" s="171"/>
      <c r="WJM19" s="171"/>
      <c r="WJN19" s="171"/>
      <c r="WJO19" s="171"/>
      <c r="WJP19" s="171"/>
      <c r="WJQ19" s="171"/>
      <c r="WJR19" s="171"/>
      <c r="WJS19" s="171"/>
      <c r="WJT19" s="171"/>
      <c r="WJU19" s="171"/>
      <c r="WJV19" s="171"/>
      <c r="WJW19" s="171"/>
      <c r="WJX19" s="171"/>
      <c r="WJY19" s="171"/>
      <c r="WJZ19" s="171"/>
      <c r="WKA19" s="171"/>
      <c r="WKB19" s="171"/>
      <c r="WKC19" s="171"/>
      <c r="WKD19" s="171"/>
      <c r="WKE19" s="171"/>
      <c r="WKF19" s="171"/>
      <c r="WKG19" s="171"/>
      <c r="WKH19" s="171"/>
      <c r="WKI19" s="171"/>
      <c r="WKJ19" s="171"/>
      <c r="WKK19" s="171"/>
      <c r="WKL19" s="171"/>
      <c r="WKM19" s="171"/>
      <c r="WKN19" s="171"/>
      <c r="WKO19" s="171"/>
      <c r="WKP19" s="171"/>
      <c r="WKQ19" s="171"/>
      <c r="WKR19" s="171"/>
      <c r="WKS19" s="171"/>
      <c r="WKT19" s="171"/>
      <c r="WKU19" s="171"/>
      <c r="WKV19" s="171"/>
      <c r="WKW19" s="171"/>
      <c r="WKX19" s="171"/>
      <c r="WKY19" s="171"/>
      <c r="WKZ19" s="171"/>
      <c r="WLA19" s="171"/>
      <c r="WLB19" s="171"/>
      <c r="WLC19" s="171"/>
      <c r="WLD19" s="171"/>
      <c r="WLE19" s="171"/>
      <c r="WLF19" s="171"/>
      <c r="WLG19" s="171"/>
      <c r="WLH19" s="171"/>
      <c r="WLI19" s="171"/>
      <c r="WLJ19" s="171"/>
      <c r="WLK19" s="171"/>
      <c r="WLL19" s="171"/>
      <c r="WLM19" s="171"/>
      <c r="WLN19" s="171"/>
      <c r="WLO19" s="171"/>
      <c r="WLP19" s="171"/>
      <c r="WLQ19" s="171"/>
      <c r="WLR19" s="171"/>
      <c r="WLS19" s="171"/>
      <c r="WLT19" s="171"/>
      <c r="WLU19" s="171"/>
      <c r="WLV19" s="171"/>
      <c r="WLW19" s="171"/>
      <c r="WLX19" s="171"/>
      <c r="WLY19" s="171"/>
      <c r="WLZ19" s="171"/>
      <c r="WMA19" s="171"/>
      <c r="WMB19" s="171"/>
      <c r="WMC19" s="171"/>
      <c r="WMD19" s="171"/>
      <c r="WME19" s="171"/>
      <c r="WMF19" s="171"/>
      <c r="WMG19" s="171"/>
      <c r="WMH19" s="171"/>
      <c r="WMI19" s="171"/>
      <c r="WMJ19" s="171"/>
      <c r="WMK19" s="171"/>
      <c r="WML19" s="171"/>
      <c r="WMM19" s="171"/>
      <c r="WMN19" s="171"/>
      <c r="WMO19" s="171"/>
      <c r="WMP19" s="171"/>
      <c r="WMQ19" s="171"/>
      <c r="WMR19" s="171"/>
      <c r="WMS19" s="171"/>
      <c r="WMT19" s="171"/>
      <c r="WMU19" s="171"/>
      <c r="WMV19" s="171"/>
      <c r="WMW19" s="171"/>
      <c r="WMX19" s="171"/>
      <c r="WMY19" s="171"/>
      <c r="WMZ19" s="171"/>
      <c r="WNA19" s="171"/>
      <c r="WNB19" s="171"/>
      <c r="WNC19" s="171"/>
      <c r="WND19" s="171"/>
      <c r="WNE19" s="171"/>
      <c r="WNF19" s="171"/>
      <c r="WNG19" s="171"/>
      <c r="WNH19" s="171"/>
      <c r="WNI19" s="171"/>
      <c r="WNJ19" s="171"/>
      <c r="WNK19" s="171"/>
      <c r="WNL19" s="171"/>
      <c r="WNM19" s="171"/>
      <c r="WNN19" s="171"/>
      <c r="WNO19" s="171"/>
      <c r="WNP19" s="171"/>
      <c r="WNQ19" s="171"/>
      <c r="WNR19" s="171"/>
      <c r="WNS19" s="171"/>
      <c r="WNT19" s="171"/>
      <c r="WNU19" s="171"/>
      <c r="WNV19" s="171"/>
      <c r="WNW19" s="171"/>
      <c r="WNX19" s="171"/>
      <c r="WNY19" s="171"/>
      <c r="WNZ19" s="171"/>
      <c r="WOA19" s="171"/>
      <c r="WOB19" s="171"/>
      <c r="WOC19" s="171"/>
      <c r="WOD19" s="171"/>
      <c r="WOE19" s="171"/>
      <c r="WOF19" s="171"/>
      <c r="WOG19" s="171"/>
      <c r="WOH19" s="171"/>
      <c r="WOI19" s="171"/>
      <c r="WOJ19" s="171"/>
      <c r="WOK19" s="171"/>
      <c r="WOL19" s="171"/>
      <c r="WOM19" s="171"/>
      <c r="WON19" s="171"/>
      <c r="WOO19" s="171"/>
      <c r="WOP19" s="171"/>
      <c r="WOQ19" s="171"/>
      <c r="WOR19" s="171"/>
      <c r="WOS19" s="171"/>
      <c r="WOT19" s="171"/>
      <c r="WOU19" s="171"/>
      <c r="WOV19" s="171"/>
      <c r="WOW19" s="171"/>
      <c r="WOX19" s="171"/>
      <c r="WOY19" s="171"/>
      <c r="WOZ19" s="171"/>
      <c r="WPA19" s="171"/>
      <c r="WPB19" s="171"/>
      <c r="WPC19" s="171"/>
      <c r="WPD19" s="171"/>
      <c r="WPE19" s="171"/>
      <c r="WPF19" s="171"/>
      <c r="WPG19" s="171"/>
      <c r="WPH19" s="171"/>
      <c r="WPI19" s="171"/>
      <c r="WPJ19" s="171"/>
      <c r="WPK19" s="171"/>
      <c r="WPL19" s="171"/>
      <c r="WPM19" s="171"/>
      <c r="WPN19" s="171"/>
      <c r="WPO19" s="171"/>
      <c r="WPP19" s="171"/>
      <c r="WPQ19" s="171"/>
      <c r="WPR19" s="171"/>
      <c r="WPS19" s="171"/>
      <c r="WPT19" s="171"/>
      <c r="WPU19" s="171"/>
      <c r="WPV19" s="171"/>
      <c r="WPW19" s="171"/>
      <c r="WPX19" s="171"/>
      <c r="WPY19" s="171"/>
      <c r="WPZ19" s="171"/>
      <c r="WQA19" s="171"/>
      <c r="WQB19" s="171"/>
      <c r="WQC19" s="171"/>
      <c r="WQD19" s="171"/>
      <c r="WQE19" s="171"/>
      <c r="WQF19" s="171"/>
      <c r="WQG19" s="171"/>
      <c r="WQH19" s="171"/>
      <c r="WQI19" s="171"/>
      <c r="WQJ19" s="171"/>
      <c r="WQK19" s="171"/>
      <c r="WQL19" s="171"/>
      <c r="WQM19" s="171"/>
      <c r="WQN19" s="171"/>
      <c r="WQO19" s="171"/>
      <c r="WQP19" s="171"/>
      <c r="WQQ19" s="171"/>
      <c r="WQR19" s="171"/>
      <c r="WQS19" s="171"/>
      <c r="WQT19" s="171"/>
      <c r="WQU19" s="171"/>
      <c r="WQV19" s="171"/>
      <c r="WQW19" s="171"/>
      <c r="WQX19" s="171"/>
      <c r="WQY19" s="171"/>
      <c r="WQZ19" s="171"/>
      <c r="WRA19" s="171"/>
      <c r="WRB19" s="171"/>
      <c r="WRC19" s="171"/>
      <c r="WRD19" s="171"/>
      <c r="WRE19" s="171"/>
      <c r="WRF19" s="171"/>
      <c r="WRG19" s="171"/>
      <c r="WRH19" s="171"/>
      <c r="WRI19" s="171"/>
      <c r="WRJ19" s="171"/>
      <c r="WRK19" s="171"/>
      <c r="WRL19" s="171"/>
      <c r="WRM19" s="171"/>
      <c r="WRN19" s="171"/>
      <c r="WRO19" s="171"/>
      <c r="WRP19" s="171"/>
      <c r="WRQ19" s="171"/>
      <c r="WRR19" s="171"/>
      <c r="WRS19" s="171"/>
      <c r="WRT19" s="171"/>
      <c r="WRU19" s="171"/>
      <c r="WRV19" s="171"/>
      <c r="WRW19" s="171"/>
      <c r="WRX19" s="171"/>
      <c r="WRY19" s="171"/>
      <c r="WRZ19" s="171"/>
      <c r="WSA19" s="171"/>
      <c r="WSB19" s="171"/>
      <c r="WSC19" s="171"/>
      <c r="WSD19" s="171"/>
      <c r="WSE19" s="171"/>
      <c r="WSF19" s="171"/>
      <c r="WSG19" s="171"/>
      <c r="WSH19" s="171"/>
      <c r="WSI19" s="171"/>
      <c r="WSJ19" s="171"/>
      <c r="WSK19" s="171"/>
      <c r="WSL19" s="171"/>
      <c r="WSM19" s="171"/>
      <c r="WSN19" s="171"/>
      <c r="WSO19" s="171"/>
      <c r="WSP19" s="171"/>
      <c r="WSQ19" s="171"/>
      <c r="WSR19" s="171"/>
      <c r="WSS19" s="171"/>
      <c r="WST19" s="171"/>
      <c r="WSU19" s="171"/>
      <c r="WSV19" s="171"/>
      <c r="WSW19" s="171"/>
      <c r="WSX19" s="171"/>
      <c r="WSY19" s="171"/>
      <c r="WSZ19" s="171"/>
      <c r="WTA19" s="171"/>
      <c r="WTB19" s="171"/>
      <c r="WTC19" s="171"/>
      <c r="WTD19" s="171"/>
      <c r="WTE19" s="171"/>
      <c r="WTF19" s="171"/>
      <c r="WTG19" s="171"/>
      <c r="WTH19" s="171"/>
      <c r="WTI19" s="171"/>
      <c r="WTJ19" s="171"/>
      <c r="WTK19" s="171"/>
      <c r="WTL19" s="171"/>
      <c r="WTM19" s="171"/>
      <c r="WTN19" s="171"/>
      <c r="WTO19" s="171"/>
      <c r="WTP19" s="171"/>
      <c r="WTQ19" s="171"/>
      <c r="WTR19" s="171"/>
      <c r="WTS19" s="171"/>
      <c r="WTT19" s="171"/>
      <c r="WTU19" s="171"/>
      <c r="WTV19" s="171"/>
      <c r="WTW19" s="171"/>
      <c r="WTX19" s="171"/>
      <c r="WTY19" s="171"/>
      <c r="WTZ19" s="171"/>
      <c r="WUA19" s="171"/>
      <c r="WUB19" s="171"/>
      <c r="WUC19" s="171"/>
      <c r="WUD19" s="171"/>
      <c r="WUE19" s="171"/>
      <c r="WUF19" s="171"/>
      <c r="WUG19" s="171"/>
      <c r="WUH19" s="171"/>
      <c r="WUI19" s="171"/>
      <c r="WUJ19" s="171"/>
      <c r="WUK19" s="171"/>
      <c r="WUL19" s="171"/>
      <c r="WUM19" s="171"/>
      <c r="WUN19" s="171"/>
      <c r="WUO19" s="171"/>
      <c r="WUP19" s="171"/>
      <c r="WUQ19" s="171"/>
      <c r="WUR19" s="171"/>
      <c r="WUS19" s="171"/>
      <c r="WUT19" s="171"/>
      <c r="WUU19" s="171"/>
      <c r="WUV19" s="171"/>
      <c r="WUW19" s="171"/>
      <c r="WUX19" s="171"/>
      <c r="WUY19" s="171"/>
      <c r="WUZ19" s="171"/>
      <c r="WVA19" s="171"/>
      <c r="WVB19" s="171"/>
      <c r="WVC19" s="171"/>
      <c r="WVD19" s="171"/>
      <c r="WVE19" s="171"/>
      <c r="WVF19" s="171"/>
      <c r="WVG19" s="171"/>
      <c r="WVH19" s="171"/>
      <c r="WVI19" s="171"/>
      <c r="WVJ19" s="171"/>
      <c r="WVK19" s="171"/>
      <c r="WVL19" s="171"/>
      <c r="WVM19" s="171"/>
      <c r="WVN19" s="171"/>
      <c r="WVO19" s="171"/>
      <c r="WVP19" s="171"/>
      <c r="WVQ19" s="171"/>
      <c r="WVR19" s="171"/>
      <c r="WVS19" s="171"/>
      <c r="WVT19" s="171"/>
      <c r="WVU19" s="171"/>
      <c r="WVV19" s="171"/>
      <c r="WVW19" s="171"/>
      <c r="WVX19" s="171"/>
      <c r="WVY19" s="171"/>
      <c r="WVZ19" s="171"/>
      <c r="WWA19" s="171"/>
      <c r="WWB19" s="171"/>
      <c r="WWC19" s="171"/>
      <c r="WWD19" s="171"/>
      <c r="WWE19" s="171"/>
      <c r="WWF19" s="171"/>
      <c r="WWG19" s="171"/>
      <c r="WWH19" s="171"/>
      <c r="WWI19" s="171"/>
      <c r="WWJ19" s="171"/>
      <c r="WWK19" s="171"/>
      <c r="WWL19" s="171"/>
      <c r="WWM19" s="171"/>
      <c r="WWN19" s="171"/>
      <c r="WWO19" s="171"/>
      <c r="WWP19" s="171"/>
      <c r="WWQ19" s="171"/>
      <c r="WWR19" s="171"/>
      <c r="WWS19" s="171"/>
      <c r="WWT19" s="171"/>
      <c r="WWU19" s="171"/>
      <c r="WWV19" s="171"/>
      <c r="WWW19" s="171"/>
      <c r="WWX19" s="171"/>
      <c r="WWY19" s="171"/>
      <c r="WWZ19" s="171"/>
      <c r="WXA19" s="171"/>
      <c r="WXB19" s="171"/>
      <c r="WXC19" s="171"/>
      <c r="WXD19" s="171"/>
      <c r="WXE19" s="171"/>
      <c r="WXF19" s="171"/>
      <c r="WXG19" s="171"/>
      <c r="WXH19" s="171"/>
      <c r="WXI19" s="171"/>
      <c r="WXJ19" s="171"/>
      <c r="WXK19" s="171"/>
      <c r="WXL19" s="171"/>
      <c r="WXM19" s="171"/>
      <c r="WXN19" s="171"/>
      <c r="WXO19" s="171"/>
      <c r="WXP19" s="171"/>
      <c r="WXQ19" s="171"/>
      <c r="WXR19" s="171"/>
      <c r="WXS19" s="171"/>
      <c r="WXT19" s="171"/>
      <c r="WXU19" s="171"/>
      <c r="WXV19" s="171"/>
      <c r="WXW19" s="171"/>
      <c r="WXX19" s="171"/>
      <c r="WXY19" s="171"/>
      <c r="WXZ19" s="171"/>
      <c r="WYA19" s="171"/>
      <c r="WYB19" s="171"/>
      <c r="WYC19" s="171"/>
      <c r="WYD19" s="171"/>
      <c r="WYE19" s="171"/>
      <c r="WYF19" s="171"/>
      <c r="WYG19" s="171"/>
      <c r="WYH19" s="171"/>
      <c r="WYI19" s="171"/>
      <c r="WYJ19" s="171"/>
      <c r="WYK19" s="171"/>
      <c r="WYL19" s="171"/>
      <c r="WYM19" s="171"/>
      <c r="WYN19" s="171"/>
      <c r="WYO19" s="171"/>
      <c r="WYP19" s="171"/>
      <c r="WYQ19" s="171"/>
      <c r="WYR19" s="171"/>
      <c r="WYS19" s="171"/>
      <c r="WYT19" s="171"/>
      <c r="WYU19" s="171"/>
      <c r="WYV19" s="171"/>
      <c r="WYW19" s="171"/>
      <c r="WYX19" s="171"/>
      <c r="WYY19" s="171"/>
      <c r="WYZ19" s="171"/>
      <c r="WZA19" s="171"/>
      <c r="WZB19" s="171"/>
      <c r="WZC19" s="171"/>
      <c r="WZD19" s="171"/>
      <c r="WZE19" s="171"/>
      <c r="WZF19" s="171"/>
      <c r="WZG19" s="171"/>
      <c r="WZH19" s="171"/>
      <c r="WZI19" s="171"/>
      <c r="WZJ19" s="171"/>
      <c r="WZK19" s="171"/>
      <c r="WZL19" s="171"/>
      <c r="WZM19" s="171"/>
      <c r="WZN19" s="171"/>
      <c r="WZO19" s="171"/>
      <c r="WZP19" s="171"/>
      <c r="WZQ19" s="171"/>
      <c r="WZR19" s="171"/>
      <c r="WZS19" s="171"/>
      <c r="WZT19" s="171"/>
      <c r="WZU19" s="171"/>
      <c r="WZV19" s="171"/>
      <c r="WZW19" s="171"/>
      <c r="WZX19" s="171"/>
      <c r="WZY19" s="171"/>
      <c r="WZZ19" s="171"/>
      <c r="XAA19" s="171"/>
      <c r="XAB19" s="171"/>
      <c r="XAC19" s="171"/>
      <c r="XAD19" s="171"/>
      <c r="XAE19" s="171"/>
      <c r="XAF19" s="171"/>
      <c r="XAG19" s="171"/>
      <c r="XAH19" s="171"/>
      <c r="XAI19" s="171"/>
      <c r="XAJ19" s="171"/>
      <c r="XAK19" s="171"/>
      <c r="XAL19" s="171"/>
      <c r="XAM19" s="171"/>
      <c r="XAN19" s="171"/>
      <c r="XAO19" s="171"/>
      <c r="XAP19" s="171"/>
      <c r="XAQ19" s="171"/>
      <c r="XAR19" s="171"/>
      <c r="XAS19" s="171"/>
      <c r="XAT19" s="171"/>
      <c r="XAU19" s="171"/>
      <c r="XAV19" s="171"/>
      <c r="XAW19" s="171"/>
      <c r="XAX19" s="171"/>
      <c r="XAY19" s="171"/>
      <c r="XAZ19" s="171"/>
      <c r="XBA19" s="171"/>
      <c r="XBB19" s="171"/>
      <c r="XBC19" s="171"/>
      <c r="XBD19" s="171"/>
      <c r="XBE19" s="171"/>
      <c r="XBF19" s="171"/>
      <c r="XBG19" s="171"/>
      <c r="XBH19" s="171"/>
      <c r="XBI19" s="171"/>
      <c r="XBJ19" s="171"/>
      <c r="XBK19" s="171"/>
      <c r="XBL19" s="171"/>
      <c r="XBM19" s="171"/>
      <c r="XBN19" s="171"/>
      <c r="XBO19" s="171"/>
      <c r="XBP19" s="171"/>
      <c r="XBQ19" s="171"/>
      <c r="XBR19" s="171"/>
      <c r="XBS19" s="171"/>
      <c r="XBT19" s="171"/>
      <c r="XBU19" s="171"/>
      <c r="XBV19" s="171"/>
      <c r="XBW19" s="171"/>
      <c r="XBX19" s="171"/>
      <c r="XBY19" s="171"/>
      <c r="XBZ19" s="171"/>
      <c r="XCA19" s="171"/>
      <c r="XCB19" s="171"/>
      <c r="XCC19" s="171"/>
      <c r="XCD19" s="171"/>
      <c r="XCE19" s="171"/>
      <c r="XCF19" s="171"/>
      <c r="XCG19" s="171"/>
      <c r="XCH19" s="171"/>
      <c r="XCI19" s="171"/>
      <c r="XCJ19" s="171"/>
      <c r="XCK19" s="171"/>
      <c r="XCL19" s="171"/>
      <c r="XCM19" s="171"/>
      <c r="XCN19" s="171"/>
      <c r="XCO19" s="171"/>
      <c r="XCP19" s="171"/>
      <c r="XCQ19" s="171"/>
      <c r="XCR19" s="171"/>
      <c r="XCS19" s="171"/>
      <c r="XCT19" s="171"/>
      <c r="XCU19" s="171"/>
      <c r="XCV19" s="171"/>
      <c r="XCW19" s="171"/>
      <c r="XCX19" s="171"/>
      <c r="XCY19" s="171"/>
    </row>
    <row r="20" spans="1:16327" s="11" customFormat="1" hidden="1" x14ac:dyDescent="0.25">
      <c r="A20" s="197" t="s">
        <v>209</v>
      </c>
      <c r="B20" s="341"/>
      <c r="C20" s="197"/>
      <c r="D20" s="197"/>
      <c r="E20" s="197"/>
      <c r="F20" s="197"/>
      <c r="G20" s="195"/>
      <c r="H20" s="195"/>
      <c r="I20" s="195"/>
      <c r="J20" s="198">
        <v>18818.114410000002</v>
      </c>
      <c r="K20" s="195"/>
      <c r="L20" s="195">
        <v>18680.717679999998</v>
      </c>
      <c r="M20" s="195">
        <v>18836.921989999999</v>
      </c>
      <c r="N20" s="195">
        <v>18805.22812</v>
      </c>
      <c r="O20" s="195">
        <v>18770.550729999999</v>
      </c>
      <c r="P20" s="195">
        <v>18800.49512</v>
      </c>
      <c r="Q20" s="195">
        <v>18899.56926</v>
      </c>
      <c r="R20" s="195">
        <v>18860.38394</v>
      </c>
      <c r="S20" s="195">
        <v>18890.328420000002</v>
      </c>
      <c r="T20" s="195">
        <v>18773.07346</v>
      </c>
      <c r="U20" s="195">
        <v>18800.014190000002</v>
      </c>
      <c r="V20" s="196">
        <v>18903.545149999998</v>
      </c>
      <c r="W20" s="196">
        <v>29319.011121079639</v>
      </c>
      <c r="X20" s="196">
        <v>28652.303179743838</v>
      </c>
      <c r="Y20" s="196">
        <v>28069.4</v>
      </c>
      <c r="Z20" s="196">
        <v>19017</v>
      </c>
      <c r="AA20" s="196">
        <v>19046</v>
      </c>
      <c r="AB20" s="196">
        <v>19288</v>
      </c>
      <c r="AC20" s="196">
        <v>19874</v>
      </c>
      <c r="AD20" s="196">
        <v>19545</v>
      </c>
      <c r="AE20" s="196">
        <v>19645</v>
      </c>
      <c r="AF20" s="196">
        <v>19895</v>
      </c>
      <c r="AG20" s="196">
        <v>19967</v>
      </c>
      <c r="AH20" s="196">
        <v>20029</v>
      </c>
      <c r="AI20" s="196">
        <v>19884</v>
      </c>
      <c r="AJ20" s="196">
        <v>19893</v>
      </c>
      <c r="AK20" s="196">
        <v>19888</v>
      </c>
      <c r="AL20" s="196">
        <v>15457</v>
      </c>
      <c r="AM20" s="196">
        <v>11044</v>
      </c>
      <c r="AN20" s="196">
        <v>6369</v>
      </c>
      <c r="AO20" s="196">
        <v>1851</v>
      </c>
      <c r="AP20" s="196">
        <v>1477</v>
      </c>
      <c r="AQ20" s="196">
        <v>0</v>
      </c>
      <c r="AR20" s="196">
        <v>0</v>
      </c>
      <c r="AS20" s="196">
        <v>0</v>
      </c>
      <c r="AT20" s="196">
        <v>0</v>
      </c>
      <c r="AU20" s="196">
        <v>0</v>
      </c>
      <c r="AV20" s="196">
        <v>2175</v>
      </c>
      <c r="AW20" s="196">
        <v>2371</v>
      </c>
      <c r="AX20" s="196">
        <v>2335</v>
      </c>
      <c r="AY20" s="196">
        <v>0</v>
      </c>
      <c r="AZ20" s="196">
        <v>0</v>
      </c>
      <c r="BA20" s="196">
        <v>0</v>
      </c>
    </row>
    <row r="21" spans="1:16327" s="11" customFormat="1" hidden="1" x14ac:dyDescent="0.25">
      <c r="A21" s="197" t="s">
        <v>210</v>
      </c>
      <c r="B21" s="341"/>
      <c r="C21" s="197"/>
      <c r="D21" s="197"/>
      <c r="E21" s="197"/>
      <c r="F21" s="197"/>
      <c r="G21" s="195"/>
      <c r="H21" s="195"/>
      <c r="I21" s="195"/>
      <c r="J21" s="198"/>
      <c r="K21" s="195"/>
      <c r="L21" s="195"/>
      <c r="M21" s="195"/>
      <c r="N21" s="195"/>
      <c r="O21" s="195"/>
      <c r="P21" s="195"/>
      <c r="Q21" s="195"/>
      <c r="R21" s="195"/>
      <c r="S21" s="195"/>
      <c r="T21" s="195">
        <v>0</v>
      </c>
      <c r="U21" s="195">
        <v>0</v>
      </c>
      <c r="V21" s="196">
        <v>0</v>
      </c>
      <c r="W21" s="196"/>
      <c r="X21" s="196">
        <v>0</v>
      </c>
      <c r="Y21" s="196">
        <v>0</v>
      </c>
      <c r="Z21" s="196">
        <v>0</v>
      </c>
      <c r="AA21" s="196">
        <v>0</v>
      </c>
      <c r="AB21" s="196">
        <v>0</v>
      </c>
      <c r="AC21" s="196">
        <v>0</v>
      </c>
      <c r="AD21" s="196">
        <v>0</v>
      </c>
      <c r="AE21" s="196">
        <v>0</v>
      </c>
      <c r="AF21" s="196">
        <v>0</v>
      </c>
      <c r="AG21" s="196">
        <v>0</v>
      </c>
      <c r="AH21" s="196">
        <v>0</v>
      </c>
      <c r="AI21" s="196">
        <v>0</v>
      </c>
      <c r="AJ21" s="196">
        <v>0</v>
      </c>
      <c r="AK21" s="196">
        <v>0</v>
      </c>
      <c r="AL21" s="196">
        <v>0</v>
      </c>
      <c r="AM21" s="196">
        <v>0</v>
      </c>
      <c r="AN21" s="196">
        <v>0</v>
      </c>
      <c r="AO21" s="196">
        <v>0</v>
      </c>
      <c r="AP21" s="196">
        <v>0</v>
      </c>
      <c r="AQ21" s="196">
        <v>0</v>
      </c>
      <c r="AR21" s="196">
        <v>0</v>
      </c>
      <c r="AS21" s="196">
        <v>0</v>
      </c>
      <c r="AT21" s="196">
        <v>0</v>
      </c>
      <c r="AU21" s="196">
        <v>0</v>
      </c>
      <c r="AV21" s="196">
        <v>0</v>
      </c>
      <c r="AW21" s="196">
        <v>0</v>
      </c>
      <c r="AX21" s="196">
        <v>0</v>
      </c>
      <c r="AY21" s="196">
        <v>0</v>
      </c>
      <c r="AZ21" s="196">
        <v>0</v>
      </c>
      <c r="BA21" s="196">
        <v>0</v>
      </c>
    </row>
    <row r="22" spans="1:16327" s="11" customFormat="1" hidden="1" x14ac:dyDescent="0.25">
      <c r="A22" s="199" t="s">
        <v>206</v>
      </c>
      <c r="B22" s="342"/>
      <c r="C22" s="199"/>
      <c r="D22" s="199"/>
      <c r="E22" s="199"/>
      <c r="F22" s="199"/>
      <c r="G22" s="195"/>
      <c r="H22" s="195"/>
      <c r="I22" s="195"/>
      <c r="J22" s="195" t="s">
        <v>0</v>
      </c>
      <c r="K22" s="195"/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0</v>
      </c>
      <c r="AB22" s="196">
        <v>0</v>
      </c>
      <c r="AC22" s="196">
        <v>0</v>
      </c>
      <c r="AD22" s="196">
        <v>28992</v>
      </c>
      <c r="AE22" s="196">
        <v>29053</v>
      </c>
      <c r="AF22" s="196">
        <v>58135</v>
      </c>
      <c r="AG22" s="196">
        <v>58135</v>
      </c>
      <c r="AH22" s="196">
        <v>58715</v>
      </c>
      <c r="AI22" s="196">
        <v>58665</v>
      </c>
      <c r="AJ22" s="196">
        <v>59076</v>
      </c>
      <c r="AK22" s="196">
        <v>58833</v>
      </c>
      <c r="AL22" s="196">
        <v>59232</v>
      </c>
      <c r="AM22" s="196">
        <v>59207</v>
      </c>
      <c r="AN22" s="196">
        <v>59537</v>
      </c>
      <c r="AO22" s="196">
        <v>59251</v>
      </c>
      <c r="AP22" s="196">
        <v>59096</v>
      </c>
      <c r="AQ22" s="196">
        <v>59498</v>
      </c>
      <c r="AR22" s="196">
        <v>30609</v>
      </c>
      <c r="AS22" s="196">
        <v>30356</v>
      </c>
      <c r="AT22" s="196">
        <v>1840</v>
      </c>
      <c r="AU22" s="196">
        <v>2026</v>
      </c>
      <c r="AV22" s="196">
        <v>2324</v>
      </c>
      <c r="AW22" s="196">
        <v>2476</v>
      </c>
      <c r="AX22" s="196">
        <v>0</v>
      </c>
      <c r="AY22" s="196">
        <v>0</v>
      </c>
      <c r="AZ22" s="196">
        <v>0</v>
      </c>
      <c r="BA22" s="196">
        <v>0</v>
      </c>
    </row>
    <row r="23" spans="1:16327" s="11" customFormat="1" hidden="1" x14ac:dyDescent="0.25">
      <c r="A23" s="199" t="s">
        <v>207</v>
      </c>
      <c r="B23" s="342"/>
      <c r="C23" s="199"/>
      <c r="D23" s="199"/>
      <c r="E23" s="199"/>
      <c r="F23" s="199"/>
      <c r="G23" s="195"/>
      <c r="H23" s="195"/>
      <c r="I23" s="195"/>
      <c r="J23" s="195" t="s">
        <v>0</v>
      </c>
      <c r="K23" s="195"/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6">
        <v>51934.885919999993</v>
      </c>
      <c r="W23" s="196">
        <v>36583.685472466932</v>
      </c>
      <c r="X23" s="196">
        <v>35576.280486042582</v>
      </c>
      <c r="Y23" s="196">
        <v>34743.5</v>
      </c>
      <c r="Z23" s="196">
        <v>53237</v>
      </c>
      <c r="AA23" s="196">
        <v>51424</v>
      </c>
      <c r="AB23" s="196">
        <v>49947</v>
      </c>
      <c r="AC23" s="196">
        <v>47733</v>
      </c>
      <c r="AD23" s="196">
        <v>53712</v>
      </c>
      <c r="AE23" s="196">
        <v>51045</v>
      </c>
      <c r="AF23" s="196">
        <v>48628</v>
      </c>
      <c r="AG23" s="196">
        <v>45763</v>
      </c>
      <c r="AH23" s="196">
        <v>52391</v>
      </c>
      <c r="AI23" s="196">
        <v>48583</v>
      </c>
      <c r="AJ23" s="196">
        <v>45213</v>
      </c>
      <c r="AK23" s="196">
        <v>41657</v>
      </c>
      <c r="AL23" s="196">
        <v>49565</v>
      </c>
      <c r="AM23" s="196">
        <v>45783</v>
      </c>
      <c r="AN23" s="196">
        <v>42456</v>
      </c>
      <c r="AO23" s="196">
        <v>38897</v>
      </c>
      <c r="AP23" s="196">
        <v>48239</v>
      </c>
      <c r="AQ23" s="196">
        <v>44479</v>
      </c>
      <c r="AR23" s="196">
        <v>40828</v>
      </c>
      <c r="AS23" s="196">
        <v>37097</v>
      </c>
      <c r="AT23" s="196">
        <v>10892</v>
      </c>
      <c r="AU23" s="196">
        <v>7617</v>
      </c>
      <c r="AV23" s="196">
        <v>4438</v>
      </c>
      <c r="AW23" s="196">
        <v>1451</v>
      </c>
      <c r="AX23" s="196">
        <v>0</v>
      </c>
      <c r="AY23" s="196">
        <v>0</v>
      </c>
      <c r="AZ23" s="196">
        <v>0</v>
      </c>
      <c r="BA23" s="196">
        <v>0</v>
      </c>
    </row>
    <row r="24" spans="1:16327" s="11" customFormat="1" hidden="1" x14ac:dyDescent="0.25">
      <c r="A24" s="197" t="s">
        <v>211</v>
      </c>
      <c r="B24" s="341"/>
      <c r="C24" s="197"/>
      <c r="D24" s="197"/>
      <c r="E24" s="197"/>
      <c r="F24" s="197"/>
      <c r="G24" s="195"/>
      <c r="H24" s="195"/>
      <c r="I24" s="195"/>
      <c r="J24" s="198"/>
      <c r="K24" s="195"/>
      <c r="L24" s="195"/>
      <c r="M24" s="195"/>
      <c r="N24" s="195"/>
      <c r="O24" s="195"/>
      <c r="P24" s="195"/>
      <c r="Q24" s="195"/>
      <c r="R24" s="195"/>
      <c r="S24" s="195"/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0</v>
      </c>
      <c r="AB24" s="195">
        <v>0</v>
      </c>
      <c r="AC24" s="195">
        <v>0</v>
      </c>
      <c r="AD24" s="195">
        <v>0</v>
      </c>
      <c r="AE24" s="195">
        <v>0</v>
      </c>
      <c r="AF24" s="195">
        <v>0</v>
      </c>
      <c r="AG24" s="195">
        <v>0</v>
      </c>
      <c r="AH24" s="195">
        <v>0</v>
      </c>
      <c r="AI24" s="195">
        <v>0</v>
      </c>
      <c r="AJ24" s="195">
        <v>0</v>
      </c>
      <c r="AK24" s="195">
        <v>0</v>
      </c>
      <c r="AL24" s="195">
        <v>0</v>
      </c>
      <c r="AM24" s="195">
        <v>0</v>
      </c>
      <c r="AN24" s="196">
        <v>0</v>
      </c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</row>
    <row r="25" spans="1:16327" s="11" customFormat="1" hidden="1" x14ac:dyDescent="0.25">
      <c r="A25" s="199" t="s">
        <v>206</v>
      </c>
      <c r="B25" s="342"/>
      <c r="C25" s="199"/>
      <c r="D25" s="199"/>
      <c r="E25" s="199"/>
      <c r="F25" s="199"/>
      <c r="G25" s="195"/>
      <c r="H25" s="195"/>
      <c r="I25" s="195"/>
      <c r="J25" s="195" t="s">
        <v>0</v>
      </c>
      <c r="K25" s="195"/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131782.94930000001</v>
      </c>
      <c r="V25" s="196">
        <v>131818.15244000001</v>
      </c>
      <c r="W25" s="196">
        <v>131845.76671</v>
      </c>
      <c r="X25" s="196">
        <v>131810.69951999999</v>
      </c>
      <c r="Y25" s="196">
        <v>1860.4</v>
      </c>
      <c r="Z25" s="196">
        <v>2037</v>
      </c>
      <c r="AA25" s="196">
        <v>2574</v>
      </c>
      <c r="AB25" s="196">
        <v>2933</v>
      </c>
      <c r="AC25" s="196">
        <v>3466</v>
      </c>
      <c r="AD25" s="196">
        <v>3649</v>
      </c>
      <c r="AE25" s="196">
        <v>4035</v>
      </c>
      <c r="AF25" s="196">
        <v>3883</v>
      </c>
      <c r="AG25" s="196">
        <v>3808</v>
      </c>
      <c r="AH25" s="196">
        <v>3961</v>
      </c>
      <c r="AI25" s="196">
        <v>4008</v>
      </c>
      <c r="AJ25" s="196">
        <v>3569</v>
      </c>
      <c r="AK25" s="196">
        <v>3317</v>
      </c>
      <c r="AL25" s="196">
        <v>3232</v>
      </c>
      <c r="AM25" s="196">
        <v>3192</v>
      </c>
      <c r="AN25" s="196">
        <v>2896</v>
      </c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</row>
    <row r="26" spans="1:16327" s="11" customFormat="1" hidden="1" x14ac:dyDescent="0.25">
      <c r="A26" s="199" t="s">
        <v>207</v>
      </c>
      <c r="B26" s="342"/>
      <c r="C26" s="199"/>
      <c r="D26" s="199"/>
      <c r="E26" s="199"/>
      <c r="F26" s="199"/>
      <c r="G26" s="195"/>
      <c r="H26" s="195"/>
      <c r="I26" s="195"/>
      <c r="J26" s="195" t="s">
        <v>0</v>
      </c>
      <c r="K26" s="195"/>
      <c r="L26" s="195"/>
      <c r="M26" s="195">
        <v>37253.710500000001</v>
      </c>
      <c r="N26" s="195">
        <v>35735.724510000007</v>
      </c>
      <c r="O26" s="195">
        <v>34283.234039999996</v>
      </c>
      <c r="P26" s="195">
        <v>33375.417659999999</v>
      </c>
      <c r="Q26" s="195">
        <v>39783.43101</v>
      </c>
      <c r="R26" s="195">
        <v>37409.077989999998</v>
      </c>
      <c r="S26" s="195">
        <v>35409.195930000002</v>
      </c>
      <c r="T26" s="195">
        <v>33461.764969999997</v>
      </c>
      <c r="U26" s="195">
        <v>38310.476740000006</v>
      </c>
      <c r="V26" s="196">
        <v>36244.305369999995</v>
      </c>
      <c r="W26" s="196">
        <v>33511.302918831934</v>
      </c>
      <c r="X26" s="196">
        <v>31603.607851124925</v>
      </c>
      <c r="Y26" s="196">
        <v>38590.400000000001</v>
      </c>
      <c r="Z26" s="196">
        <v>36190</v>
      </c>
      <c r="AA26" s="196">
        <v>33749</v>
      </c>
      <c r="AB26" s="196">
        <v>31510</v>
      </c>
      <c r="AC26" s="196">
        <v>39949</v>
      </c>
      <c r="AD26" s="196">
        <v>36883</v>
      </c>
      <c r="AE26" s="196">
        <v>34485</v>
      </c>
      <c r="AF26" s="196">
        <v>31582</v>
      </c>
      <c r="AG26" s="196">
        <v>9972</v>
      </c>
      <c r="AH26" s="196">
        <v>7157</v>
      </c>
      <c r="AI26" s="196">
        <v>4503</v>
      </c>
      <c r="AJ26" s="196">
        <v>1951</v>
      </c>
      <c r="AK26" s="196">
        <v>9114</v>
      </c>
      <c r="AL26" s="196">
        <v>6552</v>
      </c>
      <c r="AM26" s="196">
        <v>4112</v>
      </c>
      <c r="AN26" s="196">
        <v>1764</v>
      </c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</row>
    <row r="27" spans="1:16327" s="11" customFormat="1" hidden="1" x14ac:dyDescent="0.25">
      <c r="A27" s="197" t="s">
        <v>80</v>
      </c>
      <c r="B27" s="341"/>
      <c r="C27" s="197"/>
      <c r="D27" s="197"/>
      <c r="E27" s="197"/>
      <c r="F27" s="197"/>
      <c r="G27" s="195"/>
      <c r="H27" s="195"/>
      <c r="I27" s="195"/>
      <c r="J27" s="198"/>
      <c r="K27" s="195"/>
      <c r="L27" s="195"/>
      <c r="M27" s="195"/>
      <c r="N27" s="195"/>
      <c r="O27" s="195"/>
      <c r="P27" s="195"/>
      <c r="Q27" s="195"/>
      <c r="R27" s="195"/>
      <c r="S27" s="195"/>
      <c r="T27" s="195">
        <v>0</v>
      </c>
      <c r="U27" s="195">
        <v>0</v>
      </c>
      <c r="V27" s="196">
        <v>0</v>
      </c>
      <c r="W27" s="196"/>
      <c r="X27" s="196">
        <v>0</v>
      </c>
      <c r="Y27" s="196">
        <v>0</v>
      </c>
      <c r="Z27" s="196">
        <v>0</v>
      </c>
      <c r="AA27" s="196">
        <v>0</v>
      </c>
      <c r="AB27" s="196">
        <v>0</v>
      </c>
      <c r="AC27" s="196">
        <v>0</v>
      </c>
      <c r="AD27" s="196">
        <v>0</v>
      </c>
      <c r="AE27" s="196">
        <v>0</v>
      </c>
      <c r="AF27" s="196">
        <v>0</v>
      </c>
      <c r="AG27" s="196">
        <v>0</v>
      </c>
      <c r="AH27" s="196">
        <v>0</v>
      </c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</row>
    <row r="28" spans="1:16327" s="11" customFormat="1" hidden="1" x14ac:dyDescent="0.25">
      <c r="A28" s="199" t="s">
        <v>206</v>
      </c>
      <c r="B28" s="342"/>
      <c r="C28" s="199"/>
      <c r="D28" s="199"/>
      <c r="E28" s="199"/>
      <c r="F28" s="199"/>
      <c r="G28" s="195"/>
      <c r="H28" s="195"/>
      <c r="I28" s="195"/>
      <c r="J28" s="198">
        <v>8311.6024799999996</v>
      </c>
      <c r="K28" s="195"/>
      <c r="L28" s="195">
        <v>8297.315899999996</v>
      </c>
      <c r="M28" s="195">
        <v>8849.3413199999995</v>
      </c>
      <c r="N28" s="195">
        <v>8859.5696399999997</v>
      </c>
      <c r="O28" s="195">
        <v>8106.6771799999997</v>
      </c>
      <c r="P28" s="195">
        <v>5850.4107600000007</v>
      </c>
      <c r="Q28" s="195">
        <v>8063.8118299999996</v>
      </c>
      <c r="R28" s="195">
        <v>8081.8791900000015</v>
      </c>
      <c r="S28" s="195">
        <v>7240.4767100000008</v>
      </c>
      <c r="T28" s="195">
        <v>7233.2106199999989</v>
      </c>
      <c r="U28" s="195">
        <v>7275.107649999999</v>
      </c>
      <c r="V28" s="196">
        <v>7233.2780400000001</v>
      </c>
      <c r="W28" s="196">
        <v>8762.5462691008106</v>
      </c>
      <c r="X28" s="196">
        <v>8449.8499836685205</v>
      </c>
      <c r="Y28" s="196">
        <v>8481.2000000000007</v>
      </c>
      <c r="Z28" s="196">
        <v>8995</v>
      </c>
      <c r="AA28" s="196">
        <v>8949</v>
      </c>
      <c r="AB28" s="196">
        <v>6009</v>
      </c>
      <c r="AC28" s="196">
        <v>6052</v>
      </c>
      <c r="AD28" s="196">
        <v>5998</v>
      </c>
      <c r="AE28" s="196">
        <v>4542</v>
      </c>
      <c r="AF28" s="196">
        <v>3087</v>
      </c>
      <c r="AG28" s="196">
        <v>1616</v>
      </c>
      <c r="AH28" s="196">
        <v>133</v>
      </c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</row>
    <row r="29" spans="1:16327" s="11" customFormat="1" hidden="1" x14ac:dyDescent="0.25">
      <c r="A29" s="199" t="s">
        <v>212</v>
      </c>
      <c r="B29" s="342"/>
      <c r="C29" s="199"/>
      <c r="D29" s="199"/>
      <c r="E29" s="199"/>
      <c r="F29" s="199"/>
      <c r="G29" s="195"/>
      <c r="H29" s="195"/>
      <c r="I29" s="195"/>
      <c r="J29" s="198">
        <v>4734.4083899999996</v>
      </c>
      <c r="K29" s="195"/>
      <c r="L29" s="195">
        <v>4471.1018167602997</v>
      </c>
      <c r="M29" s="195">
        <v>4672.8988999999992</v>
      </c>
      <c r="N29" s="195">
        <v>4553.6793600000001</v>
      </c>
      <c r="O29" s="195">
        <v>4061.1166299999995</v>
      </c>
      <c r="P29" s="195">
        <v>2899.5720799999999</v>
      </c>
      <c r="Q29" s="195">
        <v>4013.9555700000001</v>
      </c>
      <c r="R29" s="195">
        <v>3943.5702200000005</v>
      </c>
      <c r="S29" s="195">
        <v>3463.8766199999995</v>
      </c>
      <c r="T29" s="195">
        <v>3437.5558299999998</v>
      </c>
      <c r="U29" s="195">
        <v>3409.0806799999996</v>
      </c>
      <c r="V29" s="196">
        <v>3371.3659600000001</v>
      </c>
      <c r="W29" s="196">
        <v>4971.9567020595068</v>
      </c>
      <c r="X29" s="196">
        <v>3829.3340747477778</v>
      </c>
      <c r="Y29" s="196">
        <v>3821.7</v>
      </c>
      <c r="Z29" s="196">
        <v>4034</v>
      </c>
      <c r="AA29" s="196">
        <v>4016</v>
      </c>
      <c r="AB29" s="196">
        <v>2749</v>
      </c>
      <c r="AC29" s="196">
        <v>2754</v>
      </c>
      <c r="AD29" s="196">
        <v>2713</v>
      </c>
      <c r="AE29" s="196">
        <v>2056</v>
      </c>
      <c r="AF29" s="196">
        <v>1252</v>
      </c>
      <c r="AG29" s="196">
        <v>730</v>
      </c>
      <c r="AH29" s="196">
        <v>393</v>
      </c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</row>
    <row r="30" spans="1:16327" s="11" customFormat="1" hidden="1" x14ac:dyDescent="0.25">
      <c r="A30" s="197" t="s">
        <v>213</v>
      </c>
      <c r="B30" s="341"/>
      <c r="C30" s="197"/>
      <c r="D30" s="197"/>
      <c r="E30" s="197"/>
      <c r="F30" s="197"/>
      <c r="G30" s="195"/>
      <c r="H30" s="195"/>
      <c r="I30" s="195"/>
      <c r="J30" s="198"/>
      <c r="K30" s="195"/>
      <c r="L30" s="195"/>
      <c r="M30" s="195"/>
      <c r="N30" s="195"/>
      <c r="O30" s="195"/>
      <c r="P30" s="195"/>
      <c r="Q30" s="195"/>
      <c r="R30" s="195"/>
      <c r="S30" s="195"/>
      <c r="T30" s="195">
        <v>0</v>
      </c>
      <c r="U30" s="195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  <c r="AB30" s="196">
        <v>0</v>
      </c>
      <c r="AC30" s="196">
        <v>0</v>
      </c>
      <c r="AD30" s="196">
        <v>0</v>
      </c>
      <c r="AE30" s="196">
        <v>0</v>
      </c>
      <c r="AF30" s="196">
        <v>0</v>
      </c>
      <c r="AG30" s="196">
        <v>0</v>
      </c>
      <c r="AH30" s="196">
        <v>0</v>
      </c>
      <c r="AI30" s="196">
        <v>0</v>
      </c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</row>
    <row r="31" spans="1:16327" s="11" customFormat="1" hidden="1" x14ac:dyDescent="0.25">
      <c r="A31" s="199" t="s">
        <v>206</v>
      </c>
      <c r="B31" s="342"/>
      <c r="C31" s="199"/>
      <c r="D31" s="199"/>
      <c r="E31" s="199"/>
      <c r="F31" s="199"/>
      <c r="G31" s="195"/>
      <c r="H31" s="195"/>
      <c r="I31" s="195"/>
      <c r="J31" s="195" t="s">
        <v>0</v>
      </c>
      <c r="K31" s="195"/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6">
        <v>0</v>
      </c>
      <c r="W31" s="196">
        <v>0</v>
      </c>
      <c r="X31" s="196">
        <v>104879.10434449156</v>
      </c>
      <c r="Y31" s="196">
        <v>105051.7</v>
      </c>
      <c r="Z31" s="196">
        <v>113633</v>
      </c>
      <c r="AA31" s="196">
        <v>114828</v>
      </c>
      <c r="AB31" s="196">
        <v>88167</v>
      </c>
      <c r="AC31" s="196">
        <v>60981</v>
      </c>
      <c r="AD31" s="196">
        <v>33694</v>
      </c>
      <c r="AE31" s="196">
        <v>6821</v>
      </c>
      <c r="AF31" s="196">
        <v>6612</v>
      </c>
      <c r="AG31" s="196">
        <v>6404</v>
      </c>
      <c r="AH31" s="196">
        <v>6617</v>
      </c>
      <c r="AI31" s="196">
        <v>4739</v>
      </c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</row>
    <row r="32" spans="1:16327" s="11" customFormat="1" hidden="1" x14ac:dyDescent="0.25">
      <c r="A32" s="199" t="s">
        <v>207</v>
      </c>
      <c r="B32" s="342"/>
      <c r="C32" s="199"/>
      <c r="D32" s="199"/>
      <c r="E32" s="199"/>
      <c r="F32" s="199"/>
      <c r="G32" s="195"/>
      <c r="H32" s="195"/>
      <c r="I32" s="195"/>
      <c r="J32" s="195" t="s">
        <v>0</v>
      </c>
      <c r="K32" s="195"/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6">
        <v>0</v>
      </c>
      <c r="W32" s="196">
        <v>0</v>
      </c>
      <c r="X32" s="196">
        <v>226.61538000000002</v>
      </c>
      <c r="Y32" s="196">
        <v>211.3</v>
      </c>
      <c r="Z32" s="196">
        <v>209</v>
      </c>
      <c r="AA32" s="196">
        <v>229</v>
      </c>
      <c r="AB32" s="196">
        <v>220</v>
      </c>
      <c r="AC32" s="196">
        <v>199</v>
      </c>
      <c r="AD32" s="196">
        <v>203</v>
      </c>
      <c r="AE32" s="196">
        <v>215</v>
      </c>
      <c r="AF32" s="196">
        <v>206</v>
      </c>
      <c r="AG32" s="196">
        <v>202</v>
      </c>
      <c r="AH32" s="196">
        <v>202</v>
      </c>
      <c r="AI32" s="196">
        <v>138</v>
      </c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</row>
    <row r="33" spans="1:53" s="11" customFormat="1" hidden="1" x14ac:dyDescent="0.25">
      <c r="A33" s="197" t="s">
        <v>214</v>
      </c>
      <c r="B33" s="341"/>
      <c r="C33" s="197"/>
      <c r="D33" s="197"/>
      <c r="E33" s="197"/>
      <c r="F33" s="197"/>
      <c r="G33" s="195"/>
      <c r="H33" s="195"/>
      <c r="I33" s="195"/>
      <c r="J33" s="195" t="s">
        <v>0</v>
      </c>
      <c r="K33" s="195"/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6">
        <v>0</v>
      </c>
      <c r="W33" s="196">
        <v>0</v>
      </c>
      <c r="X33" s="196">
        <v>65116.846397470101</v>
      </c>
      <c r="Y33" s="196">
        <v>62795.4</v>
      </c>
      <c r="Z33" s="196">
        <v>43448</v>
      </c>
      <c r="AA33" s="196">
        <v>40504</v>
      </c>
      <c r="AB33" s="196">
        <v>56945</v>
      </c>
      <c r="AC33" s="196">
        <v>52331</v>
      </c>
      <c r="AD33" s="196">
        <v>26519</v>
      </c>
      <c r="AE33" s="196">
        <v>21082</v>
      </c>
      <c r="AF33" s="196">
        <v>0</v>
      </c>
      <c r="AG33" s="196">
        <v>0</v>
      </c>
      <c r="AH33" s="196">
        <v>0</v>
      </c>
      <c r="AI33" s="196">
        <v>0</v>
      </c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</row>
    <row r="34" spans="1:53" s="11" customFormat="1" hidden="1" x14ac:dyDescent="0.25">
      <c r="A34" s="197" t="s">
        <v>77</v>
      </c>
      <c r="B34" s="341"/>
      <c r="C34" s="197"/>
      <c r="D34" s="197"/>
      <c r="E34" s="197"/>
      <c r="F34" s="197"/>
      <c r="G34" s="195"/>
      <c r="H34" s="195"/>
      <c r="I34" s="195"/>
      <c r="J34" s="198"/>
      <c r="K34" s="195"/>
      <c r="L34" s="195"/>
      <c r="M34" s="195"/>
      <c r="N34" s="195"/>
      <c r="O34" s="195"/>
      <c r="P34" s="195"/>
      <c r="Q34" s="195"/>
      <c r="R34" s="195"/>
      <c r="S34" s="195"/>
      <c r="T34" s="195">
        <v>0</v>
      </c>
      <c r="U34" s="195">
        <v>0</v>
      </c>
      <c r="V34" s="196">
        <v>0</v>
      </c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</row>
    <row r="35" spans="1:53" s="11" customFormat="1" hidden="1" x14ac:dyDescent="0.25">
      <c r="A35" s="199" t="s">
        <v>206</v>
      </c>
      <c r="B35" s="342"/>
      <c r="C35" s="199"/>
      <c r="D35" s="199"/>
      <c r="E35" s="199"/>
      <c r="F35" s="199"/>
      <c r="G35" s="195"/>
      <c r="H35" s="195"/>
      <c r="I35" s="195"/>
      <c r="J35" s="198">
        <v>12500.43849</v>
      </c>
      <c r="K35" s="195"/>
      <c r="L35" s="195">
        <v>12464.254880000002</v>
      </c>
      <c r="M35" s="195">
        <v>13094.41174</v>
      </c>
      <c r="N35" s="195">
        <v>13112.54076</v>
      </c>
      <c r="O35" s="195">
        <v>10086.381299999999</v>
      </c>
      <c r="P35" s="195">
        <v>7290.3504899999998</v>
      </c>
      <c r="Q35" s="195">
        <v>10169.23956</v>
      </c>
      <c r="R35" s="195">
        <v>10197.131220000001</v>
      </c>
      <c r="S35" s="195">
        <v>10198.630080000001</v>
      </c>
      <c r="T35" s="195">
        <v>10182.024559999998</v>
      </c>
      <c r="U35" s="195">
        <v>6565.6528200000012</v>
      </c>
      <c r="V35" s="196">
        <v>7093.5727500000012</v>
      </c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</row>
    <row r="36" spans="1:53" s="11" customFormat="1" hidden="1" x14ac:dyDescent="0.25">
      <c r="A36" s="199" t="s">
        <v>207</v>
      </c>
      <c r="B36" s="342"/>
      <c r="C36" s="199"/>
      <c r="D36" s="199"/>
      <c r="E36" s="199"/>
      <c r="F36" s="199"/>
      <c r="G36" s="195"/>
      <c r="H36" s="195"/>
      <c r="I36" s="195"/>
      <c r="J36" s="198">
        <v>6788.1570899999997</v>
      </c>
      <c r="K36" s="195"/>
      <c r="L36" s="195">
        <v>6405.1003909561014</v>
      </c>
      <c r="M36" s="195">
        <v>6597.7696900000001</v>
      </c>
      <c r="N36" s="195">
        <v>6423.4550400000016</v>
      </c>
      <c r="O36" s="195">
        <v>4809.2653500000006</v>
      </c>
      <c r="P36" s="195">
        <v>3443.3704199999997</v>
      </c>
      <c r="Q36" s="195">
        <v>4812.3617899999999</v>
      </c>
      <c r="R36" s="195">
        <v>4721.6149799999994</v>
      </c>
      <c r="S36" s="195">
        <v>4701.19355</v>
      </c>
      <c r="T36" s="195">
        <v>4653.6506360509766</v>
      </c>
      <c r="U36" s="195">
        <v>2999.2732539490253</v>
      </c>
      <c r="V36" s="196">
        <v>3271.0920218749998</v>
      </c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</row>
    <row r="37" spans="1:53" s="11" customFormat="1" hidden="1" x14ac:dyDescent="0.25">
      <c r="A37" s="197" t="s">
        <v>215</v>
      </c>
      <c r="B37" s="341"/>
      <c r="C37" s="197"/>
      <c r="D37" s="197"/>
      <c r="E37" s="197"/>
      <c r="F37" s="197"/>
      <c r="G37" s="195"/>
      <c r="H37" s="195"/>
      <c r="I37" s="195"/>
      <c r="J37" s="198"/>
      <c r="K37" s="195"/>
      <c r="L37" s="195"/>
      <c r="M37" s="195"/>
      <c r="N37" s="195"/>
      <c r="O37" s="195"/>
      <c r="P37" s="195"/>
      <c r="Q37" s="195"/>
      <c r="R37" s="195"/>
      <c r="S37" s="195"/>
      <c r="T37" s="195">
        <v>0</v>
      </c>
      <c r="U37" s="195">
        <v>0</v>
      </c>
      <c r="V37" s="196">
        <v>0</v>
      </c>
      <c r="W37" s="196">
        <v>0</v>
      </c>
      <c r="X37" s="196">
        <v>0</v>
      </c>
      <c r="Y37" s="196">
        <v>0</v>
      </c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</row>
    <row r="38" spans="1:53" s="11" customFormat="1" hidden="1" x14ac:dyDescent="0.25">
      <c r="A38" s="199" t="s">
        <v>216</v>
      </c>
      <c r="B38" s="342"/>
      <c r="C38" s="199"/>
      <c r="D38" s="199"/>
      <c r="E38" s="199"/>
      <c r="F38" s="199"/>
      <c r="G38" s="195"/>
      <c r="H38" s="195"/>
      <c r="I38" s="195"/>
      <c r="J38" s="198">
        <v>81463.681879999989</v>
      </c>
      <c r="K38" s="195"/>
      <c r="L38" s="195">
        <v>77625.60076999999</v>
      </c>
      <c r="M38" s="195">
        <v>73401.221720000001</v>
      </c>
      <c r="N38" s="195">
        <v>39605.144919999999</v>
      </c>
      <c r="O38" s="195">
        <v>36115.367810000003</v>
      </c>
      <c r="P38" s="195">
        <v>4523.4522400000005</v>
      </c>
      <c r="Q38" s="195">
        <v>2082.04036</v>
      </c>
      <c r="R38" s="195">
        <v>4719.8846599999997</v>
      </c>
      <c r="S38" s="195">
        <v>2155.4844800000001</v>
      </c>
      <c r="T38" s="195">
        <v>4440.0796600000003</v>
      </c>
      <c r="U38" s="195">
        <v>1963.1733200000001</v>
      </c>
      <c r="V38" s="196">
        <v>4413.0295800000004</v>
      </c>
      <c r="W38" s="196">
        <v>2007.0231999999999</v>
      </c>
      <c r="X38" s="196">
        <v>3596.6999700000006</v>
      </c>
      <c r="Y38" s="196">
        <v>1220.0999999999999</v>
      </c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</row>
    <row r="39" spans="1:53" s="11" customFormat="1" hidden="1" x14ac:dyDescent="0.25">
      <c r="A39" s="199" t="s">
        <v>217</v>
      </c>
      <c r="B39" s="342"/>
      <c r="C39" s="199"/>
      <c r="D39" s="199"/>
      <c r="E39" s="199"/>
      <c r="F39" s="199"/>
      <c r="G39" s="195"/>
      <c r="H39" s="195"/>
      <c r="I39" s="195"/>
      <c r="J39" s="198">
        <v>14821.72741</v>
      </c>
      <c r="K39" s="195"/>
      <c r="L39" s="195">
        <v>2188.5842200000002</v>
      </c>
      <c r="M39" s="195">
        <v>961.49513000000002</v>
      </c>
      <c r="N39" s="195">
        <v>2167.0397699999999</v>
      </c>
      <c r="O39" s="195">
        <v>970.37288999999998</v>
      </c>
      <c r="P39" s="195">
        <v>2025.41543</v>
      </c>
      <c r="Q39" s="195">
        <v>932.02589999999998</v>
      </c>
      <c r="R39" s="195">
        <v>2113.4202700000001</v>
      </c>
      <c r="S39" s="195">
        <v>964.91466000000003</v>
      </c>
      <c r="T39" s="195">
        <v>1988.0846299999998</v>
      </c>
      <c r="U39" s="195">
        <v>878.81150000000002</v>
      </c>
      <c r="V39" s="196">
        <v>1975.98848</v>
      </c>
      <c r="W39" s="196">
        <v>898.44795999999997</v>
      </c>
      <c r="X39" s="196">
        <v>1610.3450400000002</v>
      </c>
      <c r="Y39" s="196">
        <v>546.1</v>
      </c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</row>
    <row r="40" spans="1:53" s="11" customFormat="1" hidden="1" x14ac:dyDescent="0.25">
      <c r="A40" s="197" t="s">
        <v>218</v>
      </c>
      <c r="B40" s="341"/>
      <c r="C40" s="197"/>
      <c r="D40" s="197"/>
      <c r="E40" s="197"/>
      <c r="F40" s="197"/>
      <c r="G40" s="195"/>
      <c r="H40" s="195"/>
      <c r="I40" s="195"/>
      <c r="J40" s="198"/>
      <c r="K40" s="195"/>
      <c r="L40" s="195"/>
      <c r="M40" s="195"/>
      <c r="N40" s="195"/>
      <c r="O40" s="195"/>
      <c r="P40" s="195"/>
      <c r="Q40" s="195"/>
      <c r="R40" s="195"/>
      <c r="S40" s="195"/>
      <c r="T40" s="195">
        <v>0</v>
      </c>
      <c r="U40" s="195">
        <v>0</v>
      </c>
      <c r="V40" s="196">
        <v>0</v>
      </c>
      <c r="W40" s="196">
        <v>0</v>
      </c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</row>
    <row r="41" spans="1:53" s="11" customFormat="1" hidden="1" x14ac:dyDescent="0.25">
      <c r="A41" s="199" t="s">
        <v>219</v>
      </c>
      <c r="B41" s="342"/>
      <c r="C41" s="199"/>
      <c r="D41" s="199"/>
      <c r="E41" s="199"/>
      <c r="F41" s="199"/>
      <c r="G41" s="195"/>
      <c r="H41" s="195"/>
      <c r="I41" s="195"/>
      <c r="J41" s="195" t="s">
        <v>0</v>
      </c>
      <c r="K41" s="195"/>
      <c r="L41" s="195">
        <v>93781.671959999992</v>
      </c>
      <c r="M41" s="195">
        <v>93003.869310000009</v>
      </c>
      <c r="N41" s="195">
        <v>93484.633130000002</v>
      </c>
      <c r="O41" s="195">
        <v>93015.576690000002</v>
      </c>
      <c r="P41" s="195">
        <v>1574.2274</v>
      </c>
      <c r="Q41" s="195">
        <v>834.25377000000003</v>
      </c>
      <c r="R41" s="195">
        <v>2505.9059400000001</v>
      </c>
      <c r="S41" s="195">
        <v>1257.99731</v>
      </c>
      <c r="T41" s="195">
        <v>2794.9603500000003</v>
      </c>
      <c r="U41" s="195">
        <v>1251.15679</v>
      </c>
      <c r="V41" s="196">
        <v>2642.7099900000003</v>
      </c>
      <c r="W41" s="196">
        <v>1101.4077</v>
      </c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</row>
    <row r="42" spans="1:53" s="11" customFormat="1" hidden="1" x14ac:dyDescent="0.25">
      <c r="A42" s="199" t="s">
        <v>220</v>
      </c>
      <c r="B42" s="342"/>
      <c r="C42" s="199"/>
      <c r="D42" s="199"/>
      <c r="E42" s="199"/>
      <c r="F42" s="199"/>
      <c r="G42" s="195"/>
      <c r="H42" s="195"/>
      <c r="I42" s="195"/>
      <c r="J42" s="198">
        <v>287276.06988999998</v>
      </c>
      <c r="K42" s="195"/>
      <c r="L42" s="195">
        <v>142092.08486</v>
      </c>
      <c r="M42" s="195">
        <v>137423.62519999998</v>
      </c>
      <c r="N42" s="195">
        <v>5309.0940199999995</v>
      </c>
      <c r="O42" s="195">
        <v>2493.8862599999998</v>
      </c>
      <c r="P42" s="195">
        <v>9448.6702100000002</v>
      </c>
      <c r="Q42" s="195">
        <v>5006.6980700000004</v>
      </c>
      <c r="R42" s="195">
        <v>15042.84484</v>
      </c>
      <c r="S42" s="195">
        <v>7550.2454400000006</v>
      </c>
      <c r="T42" s="195">
        <v>16778.762179999998</v>
      </c>
      <c r="U42" s="195">
        <v>7509.1803</v>
      </c>
      <c r="V42" s="196">
        <v>15864.39876</v>
      </c>
      <c r="W42" s="196">
        <v>6610.2639500000005</v>
      </c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</row>
    <row r="43" spans="1:53" s="11" customFormat="1" hidden="1" x14ac:dyDescent="0.25">
      <c r="A43" s="199" t="s">
        <v>221</v>
      </c>
      <c r="B43" s="342"/>
      <c r="C43" s="199"/>
      <c r="D43" s="199"/>
      <c r="E43" s="199"/>
      <c r="F43" s="199"/>
      <c r="G43" s="195"/>
      <c r="H43" s="195"/>
      <c r="I43" s="195"/>
      <c r="J43" s="198">
        <v>2406.03928</v>
      </c>
      <c r="K43" s="195"/>
      <c r="L43" s="195">
        <v>2194.1189399999998</v>
      </c>
      <c r="M43" s="195">
        <v>962.54471999999998</v>
      </c>
      <c r="N43" s="195">
        <v>2172.72156</v>
      </c>
      <c r="O43" s="195">
        <v>971.49946</v>
      </c>
      <c r="P43" s="195">
        <v>2030.5375100000001</v>
      </c>
      <c r="Q43" s="195">
        <v>933.06481000000008</v>
      </c>
      <c r="R43" s="195">
        <v>2119.0598399999999</v>
      </c>
      <c r="S43" s="195">
        <v>966.05714</v>
      </c>
      <c r="T43" s="195">
        <v>1993.1123</v>
      </c>
      <c r="U43" s="195">
        <v>879.77084000000002</v>
      </c>
      <c r="V43" s="196">
        <v>1844.38374</v>
      </c>
      <c r="W43" s="196">
        <v>764.16732000000002</v>
      </c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</row>
    <row r="44" spans="1:53" s="11" customFormat="1" hidden="1" x14ac:dyDescent="0.25">
      <c r="A44" s="197" t="s">
        <v>222</v>
      </c>
      <c r="B44" s="341"/>
      <c r="C44" s="197"/>
      <c r="D44" s="197"/>
      <c r="E44" s="197"/>
      <c r="F44" s="197"/>
      <c r="G44" s="195"/>
      <c r="H44" s="195"/>
      <c r="I44" s="195"/>
      <c r="J44" s="198"/>
      <c r="K44" s="195"/>
      <c r="L44" s="195"/>
      <c r="M44" s="195"/>
      <c r="N44" s="195"/>
      <c r="O44" s="195"/>
      <c r="P44" s="195"/>
      <c r="Q44" s="195"/>
      <c r="R44" s="195"/>
      <c r="S44" s="195"/>
      <c r="T44" s="195">
        <v>0</v>
      </c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</row>
    <row r="45" spans="1:53" s="11" customFormat="1" hidden="1" x14ac:dyDescent="0.25">
      <c r="A45" s="199" t="s">
        <v>219</v>
      </c>
      <c r="B45" s="342"/>
      <c r="C45" s="199"/>
      <c r="D45" s="199"/>
      <c r="E45" s="199"/>
      <c r="F45" s="199"/>
      <c r="G45" s="195"/>
      <c r="H45" s="195"/>
      <c r="I45" s="195"/>
      <c r="J45" s="198">
        <v>18966.939269999999</v>
      </c>
      <c r="K45" s="195"/>
      <c r="L45" s="195">
        <v>18861.094150000001</v>
      </c>
      <c r="M45" s="195">
        <v>14138.007039999999</v>
      </c>
      <c r="N45" s="195">
        <v>9428.319489999998</v>
      </c>
      <c r="O45" s="195">
        <v>4738.7957000000006</v>
      </c>
      <c r="P45" s="195">
        <v>60.945</v>
      </c>
      <c r="Q45" s="195">
        <v>97.371729999999999</v>
      </c>
      <c r="R45" s="195">
        <v>102.5719</v>
      </c>
      <c r="S45" s="195">
        <v>128.69192999999999</v>
      </c>
      <c r="T45" s="195">
        <v>0</v>
      </c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</row>
    <row r="46" spans="1:53" s="11" customFormat="1" hidden="1" x14ac:dyDescent="0.25">
      <c r="A46" s="199" t="s">
        <v>220</v>
      </c>
      <c r="B46" s="342"/>
      <c r="C46" s="199"/>
      <c r="D46" s="199"/>
      <c r="E46" s="199"/>
      <c r="F46" s="199"/>
      <c r="G46" s="195"/>
      <c r="H46" s="195"/>
      <c r="I46" s="195"/>
      <c r="J46" s="198">
        <v>21089.858390000001</v>
      </c>
      <c r="K46" s="195"/>
      <c r="L46" s="195">
        <v>288.54599000000002</v>
      </c>
      <c r="M46" s="195">
        <v>1859.58437</v>
      </c>
      <c r="N46" s="195">
        <v>275.82486</v>
      </c>
      <c r="O46" s="195">
        <v>1871.0150100000001</v>
      </c>
      <c r="P46" s="195">
        <v>267.03359</v>
      </c>
      <c r="Q46" s="195">
        <v>1767.7434099999998</v>
      </c>
      <c r="R46" s="195">
        <v>240.36618999999999</v>
      </c>
      <c r="S46" s="195">
        <v>1633.1223700000121</v>
      </c>
      <c r="T46" s="195">
        <v>0</v>
      </c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</row>
    <row r="47" spans="1:53" s="11" customFormat="1" hidden="1" x14ac:dyDescent="0.25">
      <c r="A47" s="199" t="s">
        <v>223</v>
      </c>
      <c r="B47" s="342"/>
      <c r="C47" s="199"/>
      <c r="D47" s="199"/>
      <c r="E47" s="199"/>
      <c r="F47" s="199"/>
      <c r="G47" s="195"/>
      <c r="H47" s="195"/>
      <c r="I47" s="195"/>
      <c r="J47" s="198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</row>
    <row r="48" spans="1:53" s="11" customFormat="1" hidden="1" x14ac:dyDescent="0.25">
      <c r="A48" s="197" t="s">
        <v>219</v>
      </c>
      <c r="B48" s="341"/>
      <c r="C48" s="197"/>
      <c r="D48" s="197"/>
      <c r="E48" s="197"/>
      <c r="F48" s="197"/>
      <c r="G48" s="195"/>
      <c r="H48" s="195"/>
      <c r="I48" s="195"/>
      <c r="J48" s="198">
        <v>40756.267540000001</v>
      </c>
      <c r="K48" s="195"/>
      <c r="L48" s="195">
        <v>1137.95767</v>
      </c>
      <c r="M48" s="195">
        <v>921.23085000000003</v>
      </c>
      <c r="N48" s="195">
        <v>574.46296999999993</v>
      </c>
      <c r="O48" s="195">
        <v>0</v>
      </c>
      <c r="P48" s="195">
        <v>0</v>
      </c>
      <c r="Q48" s="195"/>
      <c r="R48" s="195"/>
      <c r="S48" s="195"/>
      <c r="T48" s="195"/>
      <c r="U48" s="195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</row>
    <row r="49" spans="1:53" s="11" customFormat="1" hidden="1" x14ac:dyDescent="0.25">
      <c r="A49" s="197" t="s">
        <v>224</v>
      </c>
      <c r="B49" s="341"/>
      <c r="C49" s="197"/>
      <c r="D49" s="197"/>
      <c r="E49" s="197"/>
      <c r="F49" s="197"/>
      <c r="G49" s="195"/>
      <c r="H49" s="195"/>
      <c r="I49" s="195"/>
      <c r="J49" s="198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</row>
    <row r="50" spans="1:53" s="11" customFormat="1" hidden="1" x14ac:dyDescent="0.25">
      <c r="A50" s="199" t="s">
        <v>219</v>
      </c>
      <c r="B50" s="342"/>
      <c r="C50" s="199"/>
      <c r="D50" s="199"/>
      <c r="E50" s="199"/>
      <c r="F50" s="199"/>
      <c r="G50" s="195"/>
      <c r="H50" s="195"/>
      <c r="I50" s="195"/>
      <c r="J50" s="198">
        <v>3267.37381</v>
      </c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</row>
    <row r="51" spans="1:53" s="11" customFormat="1" hidden="1" x14ac:dyDescent="0.25">
      <c r="A51" s="199" t="s">
        <v>220</v>
      </c>
      <c r="B51" s="342"/>
      <c r="C51" s="199"/>
      <c r="D51" s="199"/>
      <c r="E51" s="199"/>
      <c r="F51" s="199"/>
      <c r="G51" s="195"/>
      <c r="H51" s="195"/>
      <c r="I51" s="195"/>
      <c r="J51" s="198">
        <v>2427.5531499999997</v>
      </c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</row>
    <row r="52" spans="1:53" s="11" customFormat="1" hidden="1" x14ac:dyDescent="0.25">
      <c r="A52" s="197" t="s">
        <v>76</v>
      </c>
      <c r="B52" s="341"/>
      <c r="C52" s="197"/>
      <c r="D52" s="197"/>
      <c r="E52" s="197"/>
      <c r="F52" s="197"/>
      <c r="G52" s="195"/>
      <c r="H52" s="195"/>
      <c r="I52" s="195"/>
      <c r="J52" s="195" t="s">
        <v>0</v>
      </c>
      <c r="K52" s="195"/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195">
        <v>0</v>
      </c>
      <c r="S52" s="195">
        <v>0</v>
      </c>
      <c r="T52" s="195">
        <v>0</v>
      </c>
      <c r="U52" s="195">
        <v>0</v>
      </c>
      <c r="V52" s="196">
        <v>0</v>
      </c>
      <c r="W52" s="196">
        <v>2329.4423400000001</v>
      </c>
      <c r="X52" s="196">
        <v>2195.0102899999997</v>
      </c>
      <c r="Y52" s="196">
        <v>2093</v>
      </c>
      <c r="Z52" s="196">
        <v>1810</v>
      </c>
      <c r="AA52" s="196">
        <v>1176</v>
      </c>
      <c r="AB52" s="196">
        <v>914</v>
      </c>
      <c r="AC52" s="196">
        <v>786</v>
      </c>
      <c r="AD52" s="196">
        <v>367</v>
      </c>
      <c r="AE52" s="196">
        <v>0</v>
      </c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</row>
    <row r="53" spans="1:53" s="11" customFormat="1" hidden="1" x14ac:dyDescent="0.25">
      <c r="A53" s="197" t="s">
        <v>75</v>
      </c>
      <c r="B53" s="341"/>
      <c r="C53" s="197"/>
      <c r="D53" s="197"/>
      <c r="E53" s="197"/>
      <c r="F53" s="197"/>
      <c r="G53" s="195"/>
      <c r="H53" s="195"/>
      <c r="I53" s="195"/>
      <c r="J53" s="195" t="s">
        <v>0</v>
      </c>
      <c r="K53" s="195"/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5">
        <v>0</v>
      </c>
      <c r="T53" s="195">
        <v>0</v>
      </c>
      <c r="U53" s="195">
        <v>0</v>
      </c>
      <c r="V53" s="196">
        <v>0</v>
      </c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</row>
    <row r="54" spans="1:53" s="11" customFormat="1" hidden="1" x14ac:dyDescent="0.25">
      <c r="A54" s="197" t="s">
        <v>74</v>
      </c>
      <c r="B54" s="341"/>
      <c r="C54" s="197"/>
      <c r="D54" s="197"/>
      <c r="E54" s="197"/>
      <c r="F54" s="197"/>
      <c r="G54" s="195"/>
      <c r="H54" s="195"/>
      <c r="I54" s="195"/>
      <c r="J54" s="195" t="s">
        <v>0</v>
      </c>
      <c r="K54" s="195"/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5">
        <v>0</v>
      </c>
      <c r="T54" s="195">
        <v>0</v>
      </c>
      <c r="U54" s="195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6817</v>
      </c>
      <c r="AW54" s="196">
        <v>13094</v>
      </c>
      <c r="AX54" s="196">
        <v>19228</v>
      </c>
      <c r="AY54" s="196">
        <v>25020</v>
      </c>
      <c r="AZ54" s="196">
        <v>24403</v>
      </c>
      <c r="BA54" s="196">
        <v>23870</v>
      </c>
    </row>
    <row r="55" spans="1:53" s="11" customFormat="1" hidden="1" x14ac:dyDescent="0.25">
      <c r="A55" s="197" t="s">
        <v>225</v>
      </c>
      <c r="B55" s="341"/>
      <c r="C55" s="197"/>
      <c r="D55" s="197"/>
      <c r="E55" s="197"/>
      <c r="F55" s="197"/>
      <c r="G55" s="195"/>
      <c r="H55" s="195"/>
      <c r="I55" s="195"/>
      <c r="J55" s="195" t="s">
        <v>0</v>
      </c>
      <c r="K55" s="195"/>
      <c r="L55" s="195">
        <v>2224.9320100000004</v>
      </c>
      <c r="M55" s="195">
        <v>3487.5745999999999</v>
      </c>
      <c r="N55" s="195">
        <v>4669.3251600000003</v>
      </c>
      <c r="O55" s="195">
        <v>10401.44051</v>
      </c>
      <c r="P55" s="195">
        <v>15597.160099999999</v>
      </c>
      <c r="Q55" s="195">
        <v>20841.677800000001</v>
      </c>
      <c r="R55" s="195">
        <v>25561.332249999999</v>
      </c>
      <c r="S55" s="195">
        <v>25179.436809999999</v>
      </c>
      <c r="T55" s="195">
        <v>24857.157400000004</v>
      </c>
      <c r="U55" s="195">
        <v>24209.394909999999</v>
      </c>
      <c r="V55" s="196">
        <v>23748.058849999998</v>
      </c>
      <c r="W55" s="196">
        <v>23385.7585</v>
      </c>
      <c r="X55" s="196">
        <v>22741.991669999999</v>
      </c>
      <c r="Y55" s="196">
        <v>22361.4</v>
      </c>
      <c r="Z55" s="196">
        <v>21986</v>
      </c>
      <c r="AA55" s="196">
        <v>21657</v>
      </c>
      <c r="AB55" s="196">
        <v>21455</v>
      </c>
      <c r="AC55" s="196">
        <v>21084</v>
      </c>
      <c r="AD55" s="196">
        <v>20685</v>
      </c>
      <c r="AE55" s="196">
        <v>20432</v>
      </c>
      <c r="AF55" s="196">
        <v>19915</v>
      </c>
      <c r="AG55" s="196">
        <v>19319</v>
      </c>
      <c r="AH55" s="196">
        <v>18494</v>
      </c>
      <c r="AI55" s="196">
        <v>17918</v>
      </c>
      <c r="AJ55" s="196">
        <v>17433</v>
      </c>
      <c r="AK55" s="196">
        <v>16715</v>
      </c>
      <c r="AL55" s="196">
        <v>16050</v>
      </c>
      <c r="AM55" s="196">
        <v>15689</v>
      </c>
      <c r="AN55" s="196">
        <v>15436</v>
      </c>
      <c r="AO55" s="196">
        <v>14957</v>
      </c>
      <c r="AP55" s="196">
        <v>14342</v>
      </c>
      <c r="AQ55" s="196">
        <v>14205</v>
      </c>
      <c r="AR55" s="196">
        <v>14021</v>
      </c>
      <c r="AS55" s="196">
        <v>13714</v>
      </c>
      <c r="AT55" s="196">
        <v>13256</v>
      </c>
      <c r="AU55" s="196">
        <v>12893</v>
      </c>
      <c r="AV55" s="196">
        <v>12628</v>
      </c>
      <c r="AW55" s="196">
        <v>12349</v>
      </c>
      <c r="AX55" s="196">
        <v>12074</v>
      </c>
      <c r="AY55" s="196">
        <v>12158</v>
      </c>
      <c r="AZ55" s="196">
        <v>11971</v>
      </c>
      <c r="BA55" s="196">
        <v>11049</v>
      </c>
    </row>
    <row r="56" spans="1:53" s="11" customFormat="1" hidden="1" x14ac:dyDescent="0.25">
      <c r="A56" s="199"/>
      <c r="B56" s="342"/>
      <c r="C56" s="199"/>
      <c r="D56" s="199"/>
      <c r="E56" s="199"/>
      <c r="F56" s="199"/>
      <c r="G56" s="195"/>
      <c r="H56" s="195"/>
      <c r="I56" s="195"/>
      <c r="J56" s="198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</row>
    <row r="57" spans="1:53" s="172" customFormat="1" hidden="1" x14ac:dyDescent="0.25">
      <c r="A57" s="191" t="s">
        <v>226</v>
      </c>
      <c r="B57" s="165"/>
      <c r="C57" s="191"/>
      <c r="D57" s="191"/>
      <c r="E57" s="191"/>
      <c r="F57" s="191"/>
      <c r="G57" s="165"/>
      <c r="H57" s="165"/>
      <c r="I57" s="165"/>
      <c r="J57" s="165">
        <v>734011.6913500001</v>
      </c>
      <c r="K57" s="165"/>
      <c r="L57" s="165">
        <v>628490.4032174754</v>
      </c>
      <c r="M57" s="165">
        <v>705906.57079000014</v>
      </c>
      <c r="N57" s="165">
        <v>530427.80163999996</v>
      </c>
      <c r="O57" s="165">
        <v>504396.81639000011</v>
      </c>
      <c r="P57" s="165">
        <v>277319.02495000005</v>
      </c>
      <c r="Q57" s="165">
        <v>344689.96538000001</v>
      </c>
      <c r="R57" s="165">
        <v>360629.72643999988</v>
      </c>
      <c r="S57" s="165">
        <v>355984.61443999998</v>
      </c>
      <c r="T57" s="165">
        <v>392332.00789605104</v>
      </c>
      <c r="U57" s="165">
        <v>516901.67751394911</v>
      </c>
      <c r="V57" s="192">
        <v>588910.75656187488</v>
      </c>
      <c r="W57" s="192">
        <v>557049.47317999986</v>
      </c>
      <c r="X57" s="192">
        <v>712552.73632880556</v>
      </c>
      <c r="Y57" s="192">
        <v>577269.10000000009</v>
      </c>
      <c r="Z57" s="192">
        <v>575182</v>
      </c>
      <c r="AA57" s="192">
        <v>562760</v>
      </c>
      <c r="AB57" s="192">
        <v>560882</v>
      </c>
      <c r="AC57" s="192">
        <v>531706</v>
      </c>
      <c r="AD57" s="192">
        <v>499567</v>
      </c>
      <c r="AE57" s="192">
        <v>453927</v>
      </c>
      <c r="AF57" s="192">
        <v>471156</v>
      </c>
      <c r="AG57" s="192">
        <v>451236</v>
      </c>
      <c r="AH57" s="192">
        <v>460797</v>
      </c>
      <c r="AI57" s="192">
        <v>611656</v>
      </c>
      <c r="AJ57" s="192">
        <v>624789</v>
      </c>
      <c r="AK57" s="192">
        <v>611378</v>
      </c>
      <c r="AL57" s="192">
        <v>598834</v>
      </c>
      <c r="AM57" s="192">
        <v>435123</v>
      </c>
      <c r="AN57" s="192">
        <v>446333</v>
      </c>
      <c r="AO57" s="192">
        <v>471284</v>
      </c>
      <c r="AP57" s="192">
        <v>483858</v>
      </c>
      <c r="AQ57" s="192">
        <v>484245</v>
      </c>
      <c r="AR57" s="192">
        <v>455817</v>
      </c>
      <c r="AS57" s="192">
        <v>437238</v>
      </c>
      <c r="AT57" s="192">
        <v>372600</v>
      </c>
      <c r="AU57" s="192">
        <v>348751</v>
      </c>
      <c r="AV57" s="192">
        <v>514203</v>
      </c>
      <c r="AW57" s="192">
        <v>580674</v>
      </c>
      <c r="AX57" s="192">
        <v>570265</v>
      </c>
      <c r="AY57" s="192">
        <v>551104.60199999996</v>
      </c>
      <c r="AZ57" s="192">
        <v>379275</v>
      </c>
      <c r="BA57" s="192">
        <v>294474.35600000003</v>
      </c>
    </row>
    <row r="58" spans="1:53" s="11" customFormat="1" hidden="1" x14ac:dyDescent="0.25">
      <c r="A58" s="198"/>
      <c r="B58" s="195"/>
      <c r="C58" s="198"/>
      <c r="D58" s="198"/>
      <c r="E58" s="198"/>
      <c r="F58" s="198"/>
      <c r="G58" s="195"/>
      <c r="H58" s="195"/>
      <c r="I58" s="195"/>
      <c r="J58" s="198"/>
      <c r="K58" s="198"/>
      <c r="L58" s="198"/>
      <c r="M58" s="198"/>
      <c r="N58" s="198"/>
      <c r="O58" s="198"/>
      <c r="P58" s="198"/>
      <c r="Q58" s="198"/>
      <c r="R58" s="195"/>
      <c r="S58" s="195"/>
      <c r="T58" s="195"/>
      <c r="U58" s="195"/>
      <c r="V58" s="195"/>
      <c r="W58" s="195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</row>
    <row r="59" spans="1:53" s="13" customFormat="1" hidden="1" x14ac:dyDescent="0.25">
      <c r="A59" s="164" t="s">
        <v>227</v>
      </c>
      <c r="B59" s="165"/>
      <c r="C59" s="164"/>
      <c r="D59" s="164"/>
      <c r="E59" s="164"/>
      <c r="F59" s="164"/>
      <c r="G59" s="165"/>
      <c r="H59" s="165"/>
      <c r="I59" s="165"/>
      <c r="J59" s="164"/>
      <c r="K59" s="165"/>
      <c r="L59" s="165">
        <v>65972.203380000006</v>
      </c>
      <c r="M59" s="165">
        <v>75651.414499999999</v>
      </c>
      <c r="N59" s="165">
        <v>72308.772729999982</v>
      </c>
      <c r="O59" s="165">
        <v>78169.076760000011</v>
      </c>
      <c r="P59" s="165">
        <v>69996.755599999989</v>
      </c>
      <c r="Q59" s="165">
        <v>68226.436589999998</v>
      </c>
      <c r="R59" s="165">
        <v>51622.737169999993</v>
      </c>
      <c r="S59" s="165">
        <v>54284.762629999997</v>
      </c>
      <c r="T59" s="165">
        <v>49663.048279999995</v>
      </c>
      <c r="U59" s="165">
        <v>52330.944779999998</v>
      </c>
      <c r="V59" s="192">
        <v>50569.565000000002</v>
      </c>
      <c r="W59" s="192">
        <v>55737.785969999997</v>
      </c>
      <c r="X59" s="192">
        <v>51200.805269999997</v>
      </c>
      <c r="Y59" s="192">
        <v>48573.2</v>
      </c>
      <c r="Z59" s="192">
        <v>45096.493439999998</v>
      </c>
      <c r="AA59" s="192">
        <v>44602.008589999998</v>
      </c>
      <c r="AB59" s="192">
        <v>42918.984570000001</v>
      </c>
      <c r="AC59" s="192">
        <v>39797.535380000001</v>
      </c>
      <c r="AD59" s="192">
        <v>33028.466850000004</v>
      </c>
      <c r="AE59" s="192">
        <v>37523.903159999994</v>
      </c>
      <c r="AF59" s="192">
        <v>33843.573609999999</v>
      </c>
      <c r="AG59" s="192">
        <v>47341.513540000007</v>
      </c>
      <c r="AH59" s="192">
        <v>47108.676790000005</v>
      </c>
      <c r="AI59" s="192">
        <v>46669.919979999999</v>
      </c>
      <c r="AJ59" s="192">
        <v>33450.502840000001</v>
      </c>
      <c r="AK59" s="192">
        <v>32088.437099999999</v>
      </c>
      <c r="AL59" s="192">
        <v>25146</v>
      </c>
      <c r="AM59" s="192">
        <v>9685</v>
      </c>
      <c r="AN59" s="192">
        <v>7497.8</v>
      </c>
      <c r="AO59" s="192">
        <v>3119</v>
      </c>
      <c r="AP59" s="192">
        <v>2008</v>
      </c>
      <c r="AQ59" s="192">
        <v>4299</v>
      </c>
      <c r="AR59" s="192">
        <v>3675</v>
      </c>
      <c r="AS59" s="192">
        <v>4030</v>
      </c>
      <c r="AT59" s="192">
        <v>3660</v>
      </c>
      <c r="AU59" s="192">
        <v>4262</v>
      </c>
      <c r="AV59" s="192">
        <v>3656</v>
      </c>
      <c r="AW59" s="192">
        <v>5148</v>
      </c>
      <c r="AX59" s="192">
        <v>4719</v>
      </c>
      <c r="AY59" s="192">
        <v>6600</v>
      </c>
      <c r="AZ59" s="192">
        <v>5075</v>
      </c>
      <c r="BA59" s="192">
        <v>5840</v>
      </c>
    </row>
    <row r="60" spans="1:53" s="11" customFormat="1" hidden="1" x14ac:dyDescent="0.25">
      <c r="A60" s="200"/>
      <c r="B60" s="343"/>
      <c r="C60" s="200"/>
      <c r="D60" s="200"/>
      <c r="E60" s="200"/>
      <c r="F60" s="200"/>
      <c r="G60" s="195"/>
      <c r="H60" s="195"/>
      <c r="I60" s="195"/>
      <c r="J60" s="200"/>
      <c r="K60" s="200"/>
      <c r="L60" s="200"/>
      <c r="M60" s="200"/>
      <c r="N60" s="200"/>
      <c r="O60" s="200"/>
      <c r="P60" s="200"/>
      <c r="Q60" s="200"/>
      <c r="R60" s="195"/>
      <c r="S60" s="195"/>
      <c r="T60" s="195"/>
      <c r="U60" s="195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</row>
    <row r="61" spans="1:53" s="11" customFormat="1" hidden="1" x14ac:dyDescent="0.25">
      <c r="A61" s="197" t="s">
        <v>228</v>
      </c>
      <c r="B61" s="341"/>
      <c r="C61" s="197"/>
      <c r="D61" s="197"/>
      <c r="E61" s="197"/>
      <c r="F61" s="197"/>
      <c r="G61" s="195"/>
      <c r="H61" s="195"/>
      <c r="I61" s="195"/>
      <c r="J61" s="195" t="s">
        <v>0</v>
      </c>
      <c r="K61" s="195"/>
      <c r="L61" s="195">
        <v>0</v>
      </c>
      <c r="M61" s="195">
        <v>0</v>
      </c>
      <c r="N61" s="195">
        <v>1302.7408300000002</v>
      </c>
      <c r="O61" s="195">
        <v>3189.5060199999998</v>
      </c>
      <c r="P61" s="195">
        <v>1463.23784</v>
      </c>
      <c r="Q61" s="195">
        <v>3116.5140799999999</v>
      </c>
      <c r="R61" s="195">
        <v>1152.4535900000001</v>
      </c>
      <c r="S61" s="195">
        <v>2489.3686699999998</v>
      </c>
      <c r="T61" s="195">
        <v>1091.3189600000001</v>
      </c>
      <c r="U61" s="195">
        <v>2292.85205</v>
      </c>
      <c r="V61" s="196">
        <v>1087.40299</v>
      </c>
      <c r="W61" s="196">
        <v>2369.0121600000002</v>
      </c>
      <c r="X61" s="196">
        <v>995.57706999999994</v>
      </c>
      <c r="Y61" s="196">
        <v>1779.7</v>
      </c>
      <c r="Z61" s="196">
        <v>846.41994</v>
      </c>
      <c r="AA61" s="196">
        <v>1680.6574499999999</v>
      </c>
      <c r="AB61" s="196">
        <v>833.00522000000001</v>
      </c>
      <c r="AC61" s="196">
        <v>837.74881999999991</v>
      </c>
      <c r="AD61" s="196">
        <v>794.73565000000008</v>
      </c>
      <c r="AE61" s="196">
        <v>1594.1544799999999</v>
      </c>
      <c r="AF61" s="196">
        <v>756.24361999999996</v>
      </c>
      <c r="AG61" s="196">
        <v>1741.1551200000001</v>
      </c>
      <c r="AH61" s="196">
        <v>905.25725</v>
      </c>
      <c r="AI61" s="196">
        <v>1921.14319</v>
      </c>
      <c r="AJ61" s="196">
        <v>710.42171999999994</v>
      </c>
      <c r="AK61" s="196">
        <v>1555.8945200000001</v>
      </c>
      <c r="AL61" s="196">
        <v>611</v>
      </c>
      <c r="AM61" s="196">
        <v>1184</v>
      </c>
      <c r="AN61" s="196">
        <v>505.14</v>
      </c>
      <c r="AO61" s="196">
        <v>2593</v>
      </c>
      <c r="AP61" s="196">
        <v>2004</v>
      </c>
      <c r="AQ61" s="196">
        <v>4027</v>
      </c>
      <c r="AR61" s="196">
        <v>3653</v>
      </c>
      <c r="AS61" s="196">
        <v>3930</v>
      </c>
      <c r="AT61" s="196">
        <v>3656</v>
      </c>
      <c r="AU61" s="196">
        <v>4256</v>
      </c>
      <c r="AV61" s="196">
        <v>3656</v>
      </c>
      <c r="AW61" s="196">
        <v>5148</v>
      </c>
      <c r="AX61" s="196">
        <v>4719</v>
      </c>
      <c r="AY61" s="196">
        <v>6600</v>
      </c>
      <c r="AZ61" s="196">
        <v>5075</v>
      </c>
      <c r="BA61" s="196">
        <v>5840</v>
      </c>
    </row>
    <row r="62" spans="1:53" s="11" customFormat="1" hidden="1" x14ac:dyDescent="0.25">
      <c r="A62" s="197" t="s">
        <v>229</v>
      </c>
      <c r="B62" s="341"/>
      <c r="C62" s="197"/>
      <c r="D62" s="197"/>
      <c r="E62" s="197"/>
      <c r="F62" s="197"/>
      <c r="G62" s="195"/>
      <c r="H62" s="195"/>
      <c r="I62" s="195"/>
      <c r="J62" s="198">
        <v>70346.211840000004</v>
      </c>
      <c r="K62" s="195"/>
      <c r="L62" s="195">
        <v>65971.64417</v>
      </c>
      <c r="M62" s="195">
        <v>75651.414499999999</v>
      </c>
      <c r="N62" s="195">
        <v>71006.031899999987</v>
      </c>
      <c r="O62" s="195">
        <v>74979.57074000001</v>
      </c>
      <c r="P62" s="195">
        <v>68533.517759999988</v>
      </c>
      <c r="Q62" s="195">
        <v>65109.922509999997</v>
      </c>
      <c r="R62" s="195">
        <v>50470.283579999996</v>
      </c>
      <c r="S62" s="195">
        <v>51795.393960000001</v>
      </c>
      <c r="T62" s="195">
        <v>48571.729319999999</v>
      </c>
      <c r="U62" s="195">
        <v>50038.092729999997</v>
      </c>
      <c r="V62" s="196">
        <v>49482.16201</v>
      </c>
      <c r="W62" s="196">
        <v>53368.773809999999</v>
      </c>
      <c r="X62" s="196">
        <v>50205.228199999998</v>
      </c>
      <c r="Y62" s="196">
        <v>46793.5</v>
      </c>
      <c r="Z62" s="196">
        <v>44250.073499999999</v>
      </c>
      <c r="AA62" s="196">
        <v>42921.351139999999</v>
      </c>
      <c r="AB62" s="196">
        <v>42085.979350000001</v>
      </c>
      <c r="AC62" s="196">
        <v>38959.78656</v>
      </c>
      <c r="AD62" s="196">
        <v>32233.731200000002</v>
      </c>
      <c r="AE62" s="196">
        <v>35929.748679999997</v>
      </c>
      <c r="AF62" s="196">
        <v>33087.329989999998</v>
      </c>
      <c r="AG62" s="196">
        <v>45600.358420000004</v>
      </c>
      <c r="AH62" s="196">
        <v>46203.419540000003</v>
      </c>
      <c r="AI62" s="196">
        <v>44748.776789999996</v>
      </c>
      <c r="AJ62" s="196">
        <v>32740.081120000003</v>
      </c>
      <c r="AK62" s="196">
        <v>30532.542579999998</v>
      </c>
      <c r="AL62" s="196">
        <v>24535</v>
      </c>
      <c r="AM62" s="196">
        <v>8501</v>
      </c>
      <c r="AN62" s="196">
        <v>6992.66</v>
      </c>
      <c r="AO62" s="196">
        <v>526</v>
      </c>
      <c r="AP62" s="196">
        <v>4</v>
      </c>
      <c r="AQ62" s="196">
        <v>272</v>
      </c>
      <c r="AR62" s="196">
        <v>22</v>
      </c>
      <c r="AS62" s="196">
        <v>100</v>
      </c>
      <c r="AT62" s="196">
        <v>4</v>
      </c>
      <c r="AU62" s="196">
        <v>6</v>
      </c>
      <c r="AV62" s="196">
        <v>0</v>
      </c>
      <c r="AW62" s="196">
        <v>0</v>
      </c>
      <c r="AX62" s="196">
        <v>0</v>
      </c>
      <c r="AY62" s="196">
        <v>0</v>
      </c>
      <c r="AZ62" s="196">
        <v>0</v>
      </c>
      <c r="BA62" s="196">
        <v>0</v>
      </c>
    </row>
    <row r="63" spans="1:53" s="11" customFormat="1" hidden="1" x14ac:dyDescent="0.25">
      <c r="A63" s="197" t="s">
        <v>230</v>
      </c>
      <c r="B63" s="341"/>
      <c r="C63" s="197"/>
      <c r="D63" s="197"/>
      <c r="E63" s="197"/>
      <c r="F63" s="197"/>
      <c r="G63" s="195"/>
      <c r="H63" s="195"/>
      <c r="I63" s="195"/>
      <c r="J63" s="198">
        <v>5.0146999999999995</v>
      </c>
      <c r="K63" s="195"/>
      <c r="L63" s="195">
        <v>0.55920999999999998</v>
      </c>
      <c r="M63" s="195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/>
      <c r="U63" s="195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</row>
    <row r="64" spans="1:53" s="11" customFormat="1" hidden="1" x14ac:dyDescent="0.25">
      <c r="A64" s="197"/>
      <c r="B64" s="341"/>
      <c r="C64" s="197"/>
      <c r="D64" s="197"/>
      <c r="E64" s="197"/>
      <c r="F64" s="197"/>
      <c r="G64" s="195"/>
      <c r="H64" s="195"/>
      <c r="I64" s="195"/>
      <c r="J64" s="197"/>
      <c r="K64" s="197"/>
      <c r="L64" s="197"/>
      <c r="M64" s="197"/>
      <c r="N64" s="197"/>
      <c r="O64" s="197"/>
      <c r="P64" s="197"/>
      <c r="Q64" s="197"/>
      <c r="R64" s="195"/>
      <c r="S64" s="195"/>
      <c r="T64" s="195"/>
      <c r="U64" s="195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</row>
    <row r="65" spans="1:53" s="173" customFormat="1" ht="18" hidden="1" customHeight="1" x14ac:dyDescent="0.25">
      <c r="A65" s="201" t="s">
        <v>231</v>
      </c>
      <c r="B65" s="202"/>
      <c r="C65" s="201"/>
      <c r="D65" s="201"/>
      <c r="E65" s="201"/>
      <c r="F65" s="201"/>
      <c r="G65" s="202"/>
      <c r="H65" s="202"/>
      <c r="I65" s="202"/>
      <c r="J65" s="202">
        <v>804362.91789000016</v>
      </c>
      <c r="K65" s="202"/>
      <c r="L65" s="202">
        <v>694462.60659747536</v>
      </c>
      <c r="M65" s="202">
        <v>781557.9852900001</v>
      </c>
      <c r="N65" s="202">
        <v>602736.57436999993</v>
      </c>
      <c r="O65" s="202">
        <v>582565.89315000013</v>
      </c>
      <c r="P65" s="202">
        <v>347315.78055000002</v>
      </c>
      <c r="Q65" s="202">
        <v>412916.40197000001</v>
      </c>
      <c r="R65" s="202">
        <v>412252.46360999986</v>
      </c>
      <c r="S65" s="202">
        <v>410269.37706999999</v>
      </c>
      <c r="T65" s="202">
        <v>441995.05617605103</v>
      </c>
      <c r="U65" s="202">
        <v>569232.62229394913</v>
      </c>
      <c r="V65" s="202">
        <v>639480.32156187482</v>
      </c>
      <c r="W65" s="202">
        <v>612787.25914999982</v>
      </c>
      <c r="X65" s="202">
        <v>763753.54159880558</v>
      </c>
      <c r="Y65" s="202">
        <v>625842.30000000005</v>
      </c>
      <c r="Z65" s="202">
        <v>620278.49343999999</v>
      </c>
      <c r="AA65" s="202">
        <v>607362.00858999998</v>
      </c>
      <c r="AB65" s="202">
        <v>603800.98456999997</v>
      </c>
      <c r="AC65" s="202">
        <v>571503.53538000002</v>
      </c>
      <c r="AD65" s="202">
        <v>532595.46684999997</v>
      </c>
      <c r="AE65" s="202">
        <v>491450.90315999999</v>
      </c>
      <c r="AF65" s="202">
        <v>504999.57361000002</v>
      </c>
      <c r="AG65" s="202">
        <v>498577.51354000001</v>
      </c>
      <c r="AH65" s="202">
        <v>507905.67679</v>
      </c>
      <c r="AI65" s="202">
        <v>658325.91998000001</v>
      </c>
      <c r="AJ65" s="202">
        <v>658239.50283999997</v>
      </c>
      <c r="AK65" s="202">
        <v>643466.43709999998</v>
      </c>
      <c r="AL65" s="202">
        <v>623980</v>
      </c>
      <c r="AM65" s="202">
        <v>444808</v>
      </c>
      <c r="AN65" s="202">
        <v>453830.8</v>
      </c>
      <c r="AO65" s="202">
        <v>474403</v>
      </c>
      <c r="AP65" s="202">
        <v>485866</v>
      </c>
      <c r="AQ65" s="202">
        <v>488544</v>
      </c>
      <c r="AR65" s="202">
        <v>459492</v>
      </c>
      <c r="AS65" s="202">
        <v>441268</v>
      </c>
      <c r="AT65" s="202">
        <v>376260</v>
      </c>
      <c r="AU65" s="202">
        <v>353013</v>
      </c>
      <c r="AV65" s="202">
        <v>517859</v>
      </c>
      <c r="AW65" s="202">
        <v>585822</v>
      </c>
      <c r="AX65" s="202">
        <v>574984</v>
      </c>
      <c r="AY65" s="202">
        <v>557704.60199999996</v>
      </c>
      <c r="AZ65" s="202">
        <v>384350</v>
      </c>
      <c r="BA65" s="202">
        <v>300314.35600000003</v>
      </c>
    </row>
    <row r="66" spans="1:53" s="11" customFormat="1" hidden="1" x14ac:dyDescent="0.25">
      <c r="A66" s="193"/>
      <c r="B66" s="340"/>
      <c r="C66" s="193"/>
      <c r="D66" s="193"/>
      <c r="E66" s="193"/>
      <c r="F66" s="193"/>
      <c r="G66" s="195"/>
      <c r="H66" s="195"/>
      <c r="I66" s="195"/>
      <c r="J66" s="193"/>
      <c r="K66" s="193"/>
      <c r="L66" s="193"/>
      <c r="M66" s="193"/>
      <c r="N66" s="193"/>
      <c r="O66" s="193"/>
      <c r="P66" s="193"/>
      <c r="Q66" s="193"/>
      <c r="R66" s="195"/>
      <c r="S66" s="195"/>
      <c r="T66" s="195"/>
      <c r="U66" s="195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</row>
    <row r="67" spans="1:53" s="13" customFormat="1" hidden="1" x14ac:dyDescent="0.25">
      <c r="A67" s="191" t="s">
        <v>196</v>
      </c>
      <c r="B67" s="165"/>
      <c r="C67" s="191"/>
      <c r="D67" s="191"/>
      <c r="E67" s="191"/>
      <c r="F67" s="191"/>
      <c r="G67" s="165"/>
      <c r="H67" s="165"/>
      <c r="I67" s="165"/>
      <c r="J67" s="191"/>
      <c r="K67" s="165"/>
      <c r="L67" s="165"/>
      <c r="M67" s="165"/>
      <c r="N67" s="165"/>
      <c r="O67" s="191"/>
      <c r="P67" s="191"/>
      <c r="Q67" s="191"/>
      <c r="R67" s="165"/>
      <c r="S67" s="165"/>
      <c r="T67" s="165"/>
      <c r="U67" s="165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</row>
    <row r="68" spans="1:53" s="172" customFormat="1" hidden="1" x14ac:dyDescent="0.25">
      <c r="A68" s="201" t="s">
        <v>89</v>
      </c>
      <c r="B68" s="202"/>
      <c r="C68" s="201"/>
      <c r="D68" s="201"/>
      <c r="E68" s="201"/>
      <c r="F68" s="201"/>
      <c r="G68" s="202"/>
      <c r="H68" s="202"/>
      <c r="I68" s="202"/>
      <c r="J68" s="201"/>
      <c r="K68" s="201"/>
      <c r="L68" s="201"/>
      <c r="M68" s="201"/>
      <c r="N68" s="201"/>
      <c r="O68" s="201"/>
      <c r="P68" s="201"/>
      <c r="Q68" s="201"/>
      <c r="R68" s="165"/>
      <c r="S68" s="165"/>
      <c r="T68" s="165"/>
      <c r="U68" s="165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</row>
    <row r="69" spans="1:53" s="11" customFormat="1" hidden="1" x14ac:dyDescent="0.25">
      <c r="A69" s="193"/>
      <c r="B69" s="340"/>
      <c r="C69" s="193"/>
      <c r="D69" s="193"/>
      <c r="E69" s="193"/>
      <c r="F69" s="193"/>
      <c r="G69" s="195"/>
      <c r="H69" s="195"/>
      <c r="I69" s="195"/>
      <c r="J69" s="193"/>
      <c r="K69" s="193"/>
      <c r="L69" s="193"/>
      <c r="M69" s="193"/>
      <c r="N69" s="193"/>
      <c r="O69" s="193"/>
      <c r="P69" s="193"/>
      <c r="Q69" s="193"/>
      <c r="R69" s="195"/>
      <c r="S69" s="195"/>
      <c r="T69" s="195"/>
      <c r="U69" s="195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</row>
    <row r="70" spans="1:53" s="11" customFormat="1" hidden="1" x14ac:dyDescent="0.25">
      <c r="A70" s="203" t="s">
        <v>232</v>
      </c>
      <c r="B70" s="344"/>
      <c r="C70" s="203"/>
      <c r="D70" s="203"/>
      <c r="E70" s="203"/>
      <c r="F70" s="203"/>
      <c r="G70" s="195"/>
      <c r="H70" s="195"/>
      <c r="I70" s="195"/>
      <c r="J70" s="198">
        <v>648922.56460000004</v>
      </c>
      <c r="K70" s="195"/>
      <c r="L70" s="195">
        <v>653143.09571999998</v>
      </c>
      <c r="M70" s="195">
        <v>633436.13153999997</v>
      </c>
      <c r="N70" s="195">
        <v>636575.27405999997</v>
      </c>
      <c r="O70" s="195">
        <v>637701.63305999991</v>
      </c>
      <c r="P70" s="195">
        <v>632974.16112000006</v>
      </c>
      <c r="Q70" s="195">
        <v>633992.65477999998</v>
      </c>
      <c r="R70" s="195">
        <v>635486.46897000005</v>
      </c>
      <c r="S70" s="195">
        <v>632061.70495000004</v>
      </c>
      <c r="T70" s="195">
        <v>628749.55105999997</v>
      </c>
      <c r="U70" s="195">
        <v>622278.98920000007</v>
      </c>
      <c r="V70" s="196">
        <v>620868.36072</v>
      </c>
      <c r="W70" s="196">
        <v>607828.27982000005</v>
      </c>
      <c r="X70" s="196">
        <v>607701.35173000011</v>
      </c>
      <c r="Y70" s="196">
        <v>598516.1</v>
      </c>
      <c r="Z70" s="196">
        <v>588820</v>
      </c>
      <c r="AA70" s="196">
        <v>569482</v>
      </c>
      <c r="AB70" s="196">
        <v>554133</v>
      </c>
      <c r="AC70" s="196">
        <v>531301</v>
      </c>
      <c r="AD70" s="196">
        <v>515792</v>
      </c>
      <c r="AE70" s="196">
        <v>492980</v>
      </c>
      <c r="AF70" s="196">
        <v>470166</v>
      </c>
      <c r="AG70" s="196">
        <v>445936</v>
      </c>
      <c r="AH70" s="196">
        <v>429914</v>
      </c>
      <c r="AI70" s="196">
        <v>415923</v>
      </c>
      <c r="AJ70" s="196">
        <v>403100</v>
      </c>
      <c r="AK70" s="196">
        <v>409812</v>
      </c>
      <c r="AL70" s="196">
        <v>414603</v>
      </c>
      <c r="AM70" s="196">
        <v>407506</v>
      </c>
      <c r="AN70" s="196">
        <v>406004</v>
      </c>
      <c r="AO70" s="196">
        <v>498731</v>
      </c>
      <c r="AP70" s="196">
        <v>508499</v>
      </c>
      <c r="AQ70" s="196">
        <v>500335</v>
      </c>
      <c r="AR70" s="196">
        <v>504746</v>
      </c>
      <c r="AS70" s="196">
        <v>522760</v>
      </c>
      <c r="AT70" s="196">
        <v>540874</v>
      </c>
      <c r="AU70" s="196">
        <v>556360</v>
      </c>
      <c r="AV70" s="196">
        <v>572139</v>
      </c>
      <c r="AW70" s="196">
        <v>588704</v>
      </c>
      <c r="AX70" s="196">
        <v>607042</v>
      </c>
      <c r="AY70" s="196">
        <v>626236</v>
      </c>
      <c r="AZ70" s="196">
        <v>638946</v>
      </c>
      <c r="BA70" s="196">
        <v>645207</v>
      </c>
    </row>
    <row r="71" spans="1:53" s="11" customFormat="1" hidden="1" x14ac:dyDescent="0.25">
      <c r="A71" s="203" t="s">
        <v>233</v>
      </c>
      <c r="B71" s="344"/>
      <c r="C71" s="203"/>
      <c r="D71" s="203"/>
      <c r="E71" s="203"/>
      <c r="F71" s="203"/>
      <c r="G71" s="195"/>
      <c r="H71" s="195"/>
      <c r="I71" s="195"/>
      <c r="J71" s="198">
        <v>7495.8094700000011</v>
      </c>
      <c r="K71" s="195"/>
      <c r="L71" s="195">
        <v>13614.425660000001</v>
      </c>
      <c r="M71" s="195">
        <v>16782.60065</v>
      </c>
      <c r="N71" s="195">
        <v>19959.428059999998</v>
      </c>
      <c r="O71" s="195">
        <v>23136.25547</v>
      </c>
      <c r="P71" s="195">
        <v>26527.27592</v>
      </c>
      <c r="Q71" s="195">
        <v>30090.016960000001</v>
      </c>
      <c r="R71" s="195">
        <v>33674.608</v>
      </c>
      <c r="S71" s="195">
        <v>37733.230040000002</v>
      </c>
      <c r="T71" s="195">
        <v>41828.106079999998</v>
      </c>
      <c r="U71" s="195">
        <v>45922.982120000001</v>
      </c>
      <c r="V71" s="196">
        <v>50017.858159999996</v>
      </c>
      <c r="W71" s="196">
        <v>54112.933960000002</v>
      </c>
      <c r="X71" s="196">
        <v>58207.755520000006</v>
      </c>
      <c r="Y71" s="196">
        <v>62302.6</v>
      </c>
      <c r="Z71" s="196">
        <v>66471</v>
      </c>
      <c r="AA71" s="196">
        <v>71010</v>
      </c>
      <c r="AB71" s="196">
        <v>75998</v>
      </c>
      <c r="AC71" s="196">
        <v>80986</v>
      </c>
      <c r="AD71" s="196">
        <v>85975</v>
      </c>
      <c r="AE71" s="196">
        <v>90963</v>
      </c>
      <c r="AF71" s="196">
        <v>95951</v>
      </c>
      <c r="AG71" s="196">
        <v>100940</v>
      </c>
      <c r="AH71" s="196">
        <v>105604</v>
      </c>
      <c r="AI71" s="196">
        <v>109617</v>
      </c>
      <c r="AJ71" s="196">
        <v>113854</v>
      </c>
      <c r="AK71" s="196">
        <v>118091</v>
      </c>
      <c r="AL71" s="196">
        <v>96515</v>
      </c>
      <c r="AM71" s="196">
        <v>89670</v>
      </c>
      <c r="AN71" s="196">
        <v>92634</v>
      </c>
      <c r="AO71" s="196">
        <v>84053</v>
      </c>
      <c r="AP71" s="196">
        <v>72042</v>
      </c>
      <c r="AQ71" s="196">
        <v>59287</v>
      </c>
      <c r="AR71" s="196">
        <v>50938</v>
      </c>
      <c r="AS71" s="196">
        <v>20492</v>
      </c>
      <c r="AT71" s="196">
        <v>13278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</row>
    <row r="72" spans="1:53" s="11" customFormat="1" hidden="1" x14ac:dyDescent="0.25">
      <c r="A72" s="203" t="s">
        <v>88</v>
      </c>
      <c r="B72" s="344"/>
      <c r="C72" s="203"/>
      <c r="D72" s="203"/>
      <c r="E72" s="203"/>
      <c r="F72" s="203"/>
      <c r="G72" s="195"/>
      <c r="H72" s="195"/>
      <c r="I72" s="195"/>
      <c r="J72" s="195" t="s">
        <v>0</v>
      </c>
      <c r="K72" s="195"/>
      <c r="L72" s="195">
        <v>0</v>
      </c>
      <c r="M72" s="195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1032</v>
      </c>
      <c r="AQ72" s="196">
        <v>1482</v>
      </c>
      <c r="AR72" s="196">
        <v>2593</v>
      </c>
      <c r="AS72" s="196">
        <v>2917</v>
      </c>
      <c r="AT72" s="196">
        <v>3726</v>
      </c>
      <c r="AU72" s="196">
        <v>6024</v>
      </c>
      <c r="AV72" s="196">
        <v>6876</v>
      </c>
      <c r="AW72" s="196">
        <v>7026</v>
      </c>
      <c r="AX72" s="196">
        <v>7756</v>
      </c>
      <c r="AY72" s="196">
        <v>9836</v>
      </c>
      <c r="AZ72" s="196">
        <v>10759</v>
      </c>
      <c r="BA72" s="196">
        <v>10996</v>
      </c>
    </row>
    <row r="73" spans="1:53" s="11" customFormat="1" hidden="1" x14ac:dyDescent="0.25">
      <c r="A73" s="203" t="s">
        <v>87</v>
      </c>
      <c r="B73" s="344"/>
      <c r="C73" s="203"/>
      <c r="D73" s="203"/>
      <c r="E73" s="203"/>
      <c r="F73" s="203"/>
      <c r="G73" s="195"/>
      <c r="H73" s="195"/>
      <c r="I73" s="195"/>
      <c r="J73" s="195" t="s">
        <v>0</v>
      </c>
      <c r="K73" s="195"/>
      <c r="L73" s="195">
        <v>0</v>
      </c>
      <c r="M73" s="195">
        <v>0</v>
      </c>
      <c r="N73" s="195">
        <v>0</v>
      </c>
      <c r="O73" s="195">
        <v>0</v>
      </c>
      <c r="P73" s="195">
        <v>0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3311</v>
      </c>
      <c r="AU73" s="196">
        <v>13156</v>
      </c>
      <c r="AV73" s="196">
        <v>22867</v>
      </c>
      <c r="AW73" s="196">
        <v>32432</v>
      </c>
      <c r="AX73" s="196">
        <v>41806</v>
      </c>
      <c r="AY73" s="196">
        <v>51005</v>
      </c>
      <c r="AZ73" s="196">
        <v>59917</v>
      </c>
      <c r="BA73" s="196">
        <v>68720</v>
      </c>
    </row>
    <row r="74" spans="1:53" s="11" customFormat="1" hidden="1" x14ac:dyDescent="0.25">
      <c r="A74" s="203" t="s">
        <v>86</v>
      </c>
      <c r="B74" s="344"/>
      <c r="C74" s="203"/>
      <c r="D74" s="203"/>
      <c r="E74" s="203"/>
      <c r="F74" s="203"/>
      <c r="G74" s="195"/>
      <c r="H74" s="195"/>
      <c r="I74" s="195"/>
      <c r="J74" s="195" t="s">
        <v>0</v>
      </c>
      <c r="K74" s="195"/>
      <c r="L74" s="195">
        <v>0</v>
      </c>
      <c r="M74" s="195">
        <v>0</v>
      </c>
      <c r="N74" s="195">
        <v>0</v>
      </c>
      <c r="O74" s="195">
        <v>0</v>
      </c>
      <c r="P74" s="195">
        <v>0</v>
      </c>
      <c r="Q74" s="195">
        <v>0</v>
      </c>
      <c r="R74" s="195">
        <v>0</v>
      </c>
      <c r="S74" s="195">
        <v>0</v>
      </c>
      <c r="T74" s="195">
        <v>0</v>
      </c>
      <c r="U74" s="195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</row>
    <row r="75" spans="1:53" s="11" customFormat="1" hidden="1" x14ac:dyDescent="0.25">
      <c r="A75" s="203" t="s">
        <v>204</v>
      </c>
      <c r="B75" s="344"/>
      <c r="C75" s="203"/>
      <c r="D75" s="203"/>
      <c r="E75" s="203"/>
      <c r="F75" s="203"/>
      <c r="G75" s="195"/>
      <c r="H75" s="195"/>
      <c r="I75" s="195"/>
      <c r="J75" s="198">
        <v>57393.365040000004</v>
      </c>
      <c r="K75" s="195"/>
      <c r="L75" s="195">
        <v>92007.11361</v>
      </c>
      <c r="M75" s="195">
        <v>126379.87706</v>
      </c>
      <c r="N75" s="195">
        <v>146611.79453000001</v>
      </c>
      <c r="O75" s="195">
        <v>166843.712</v>
      </c>
      <c r="P75" s="195">
        <v>184117.25834</v>
      </c>
      <c r="Q75" s="195">
        <v>172944.39374</v>
      </c>
      <c r="R75" s="195">
        <v>189708.99728000001</v>
      </c>
      <c r="S75" s="195">
        <v>206473.60086000001</v>
      </c>
      <c r="T75" s="195">
        <v>223236.02828999999</v>
      </c>
      <c r="U75" s="195">
        <v>241167.68928999998</v>
      </c>
      <c r="V75" s="196">
        <v>259388.60887999999</v>
      </c>
      <c r="W75" s="196">
        <v>278021.28723000002</v>
      </c>
      <c r="X75" s="196">
        <v>274425.77779000002</v>
      </c>
      <c r="Y75" s="196">
        <v>291850.59999999998</v>
      </c>
      <c r="Z75" s="196">
        <v>309118</v>
      </c>
      <c r="AA75" s="196">
        <v>326120</v>
      </c>
      <c r="AB75" s="196">
        <v>343036</v>
      </c>
      <c r="AC75" s="196">
        <v>359870</v>
      </c>
      <c r="AD75" s="196">
        <v>376202</v>
      </c>
      <c r="AE75" s="196">
        <v>392393</v>
      </c>
      <c r="AF75" s="196">
        <v>408458</v>
      </c>
      <c r="AG75" s="196">
        <v>424413</v>
      </c>
      <c r="AH75" s="196">
        <v>440262</v>
      </c>
      <c r="AI75" s="196">
        <v>451542</v>
      </c>
      <c r="AJ75" s="196">
        <v>468142</v>
      </c>
      <c r="AK75" s="196">
        <v>482528</v>
      </c>
      <c r="AL75" s="196">
        <v>490745</v>
      </c>
      <c r="AM75" s="196">
        <v>478240</v>
      </c>
      <c r="AN75" s="196">
        <v>470575</v>
      </c>
      <c r="AO75" s="196">
        <v>470852</v>
      </c>
      <c r="AP75" s="196">
        <v>485572</v>
      </c>
      <c r="AQ75" s="196">
        <v>500293</v>
      </c>
      <c r="AR75" s="196">
        <v>515014</v>
      </c>
      <c r="AS75" s="196">
        <v>518556</v>
      </c>
      <c r="AT75" s="196">
        <v>532976</v>
      </c>
      <c r="AU75" s="196">
        <v>533605</v>
      </c>
      <c r="AV75" s="196">
        <v>535748</v>
      </c>
      <c r="AW75" s="196">
        <v>535608</v>
      </c>
      <c r="AX75" s="196">
        <v>533973</v>
      </c>
      <c r="AY75" s="196">
        <v>495693</v>
      </c>
      <c r="AZ75" s="196">
        <v>493082</v>
      </c>
      <c r="BA75" s="196">
        <v>402213</v>
      </c>
    </row>
    <row r="76" spans="1:53" s="11" customFormat="1" hidden="1" x14ac:dyDescent="0.25">
      <c r="A76" s="203" t="s">
        <v>85</v>
      </c>
      <c r="B76" s="344"/>
      <c r="C76" s="203"/>
      <c r="D76" s="203"/>
      <c r="E76" s="203"/>
      <c r="F76" s="203"/>
      <c r="G76" s="195"/>
      <c r="H76" s="195"/>
      <c r="I76" s="195"/>
      <c r="J76" s="195" t="s">
        <v>0</v>
      </c>
      <c r="K76" s="195"/>
      <c r="L76" s="195">
        <v>0</v>
      </c>
      <c r="M76" s="195">
        <v>0</v>
      </c>
      <c r="N76" s="195">
        <v>0</v>
      </c>
      <c r="O76" s="195">
        <v>0</v>
      </c>
      <c r="P76" s="195">
        <v>0</v>
      </c>
      <c r="Q76" s="195">
        <v>0</v>
      </c>
      <c r="R76" s="195">
        <v>0</v>
      </c>
      <c r="S76" s="195">
        <v>0</v>
      </c>
      <c r="T76" s="195">
        <v>0</v>
      </c>
      <c r="U76" s="195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3867</v>
      </c>
      <c r="AS76" s="196">
        <v>15467</v>
      </c>
      <c r="AT76" s="196">
        <v>27067</v>
      </c>
      <c r="AU76" s="196">
        <v>38667</v>
      </c>
      <c r="AV76" s="196">
        <v>50267</v>
      </c>
      <c r="AW76" s="196">
        <v>61867</v>
      </c>
      <c r="AX76" s="196">
        <v>73467</v>
      </c>
      <c r="AY76" s="196">
        <v>85068</v>
      </c>
      <c r="AZ76" s="196">
        <v>96668</v>
      </c>
      <c r="BA76" s="196">
        <v>108268</v>
      </c>
    </row>
    <row r="77" spans="1:53" s="11" customFormat="1" hidden="1" x14ac:dyDescent="0.25">
      <c r="A77" s="203" t="s">
        <v>84</v>
      </c>
      <c r="B77" s="344"/>
      <c r="C77" s="203"/>
      <c r="D77" s="203"/>
      <c r="E77" s="203"/>
      <c r="F77" s="203"/>
      <c r="G77" s="195"/>
      <c r="H77" s="195"/>
      <c r="I77" s="195"/>
      <c r="J77" s="195" t="s">
        <v>0</v>
      </c>
      <c r="K77" s="195"/>
      <c r="L77" s="195">
        <v>0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0</v>
      </c>
      <c r="S77" s="195">
        <v>0</v>
      </c>
      <c r="T77" s="195">
        <v>0</v>
      </c>
      <c r="U77" s="195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68751</v>
      </c>
      <c r="AX77" s="196">
        <v>65293</v>
      </c>
      <c r="AY77" s="196">
        <v>68771</v>
      </c>
      <c r="AZ77" s="196">
        <v>66771</v>
      </c>
      <c r="BA77" s="196">
        <v>133914.75599999999</v>
      </c>
    </row>
    <row r="78" spans="1:53" s="11" customFormat="1" hidden="1" x14ac:dyDescent="0.25">
      <c r="A78" s="203" t="s">
        <v>83</v>
      </c>
      <c r="B78" s="344"/>
      <c r="C78" s="203"/>
      <c r="D78" s="203"/>
      <c r="E78" s="203"/>
      <c r="F78" s="203"/>
      <c r="G78" s="195"/>
      <c r="H78" s="195"/>
      <c r="I78" s="195"/>
      <c r="J78" s="195" t="s">
        <v>0</v>
      </c>
      <c r="K78" s="195"/>
      <c r="L78" s="195">
        <v>0</v>
      </c>
      <c r="M78" s="195"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0</v>
      </c>
      <c r="S78" s="195">
        <v>0</v>
      </c>
      <c r="T78" s="195">
        <v>0</v>
      </c>
      <c r="U78" s="195">
        <v>0</v>
      </c>
      <c r="V78" s="196">
        <v>0</v>
      </c>
      <c r="W78" s="196">
        <v>13755.409952342217</v>
      </c>
      <c r="X78" s="196">
        <v>28371.91170446726</v>
      </c>
      <c r="Y78" s="196">
        <v>40549.4</v>
      </c>
      <c r="Z78" s="196">
        <v>49074</v>
      </c>
      <c r="AA78" s="196">
        <v>61135</v>
      </c>
      <c r="AB78" s="196">
        <v>73109</v>
      </c>
      <c r="AC78" s="196">
        <v>85012</v>
      </c>
      <c r="AD78" s="196">
        <v>96810</v>
      </c>
      <c r="AE78" s="196">
        <v>108523</v>
      </c>
      <c r="AF78" s="196">
        <v>120774</v>
      </c>
      <c r="AG78" s="196">
        <v>132139</v>
      </c>
      <c r="AH78" s="196">
        <v>143158</v>
      </c>
      <c r="AI78" s="196">
        <v>154716</v>
      </c>
      <c r="AJ78" s="196">
        <v>166417</v>
      </c>
      <c r="AK78" s="196">
        <v>178304</v>
      </c>
      <c r="AL78" s="196">
        <v>190191</v>
      </c>
      <c r="AM78" s="196">
        <v>202078</v>
      </c>
      <c r="AN78" s="196">
        <v>213965</v>
      </c>
      <c r="AO78" s="196">
        <v>225852</v>
      </c>
      <c r="AP78" s="196">
        <v>237739</v>
      </c>
      <c r="AQ78" s="196">
        <v>249626</v>
      </c>
      <c r="AR78" s="196">
        <v>261513</v>
      </c>
      <c r="AS78" s="196">
        <v>273400</v>
      </c>
      <c r="AT78" s="196">
        <v>285287</v>
      </c>
      <c r="AU78" s="196">
        <v>297174</v>
      </c>
      <c r="AV78" s="196">
        <v>309061</v>
      </c>
      <c r="AW78" s="196">
        <v>320948</v>
      </c>
      <c r="AX78" s="196">
        <v>332835</v>
      </c>
      <c r="AY78" s="196">
        <v>344722</v>
      </c>
      <c r="AZ78" s="196">
        <v>356609</v>
      </c>
      <c r="BA78" s="196">
        <v>368496</v>
      </c>
    </row>
    <row r="79" spans="1:53" s="11" customFormat="1" hidden="1" x14ac:dyDescent="0.25">
      <c r="A79" s="203" t="s">
        <v>82</v>
      </c>
      <c r="B79" s="344"/>
      <c r="C79" s="203"/>
      <c r="D79" s="203"/>
      <c r="E79" s="203"/>
      <c r="F79" s="203"/>
      <c r="G79" s="195"/>
      <c r="H79" s="195"/>
      <c r="I79" s="195"/>
      <c r="J79" s="195"/>
      <c r="K79" s="195"/>
      <c r="L79" s="195"/>
      <c r="M79" s="195"/>
      <c r="N79" s="195"/>
      <c r="O79" s="195"/>
      <c r="P79" s="195">
        <v>0</v>
      </c>
      <c r="Q79" s="195"/>
      <c r="R79" s="195"/>
      <c r="S79" s="195"/>
      <c r="T79" s="195"/>
      <c r="U79" s="195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</row>
    <row r="80" spans="1:53" s="11" customFormat="1" hidden="1" x14ac:dyDescent="0.25">
      <c r="A80" s="199" t="s">
        <v>216</v>
      </c>
      <c r="B80" s="342"/>
      <c r="C80" s="199"/>
      <c r="D80" s="199"/>
      <c r="E80" s="199"/>
      <c r="F80" s="199"/>
      <c r="G80" s="195"/>
      <c r="H80" s="195"/>
      <c r="I80" s="195"/>
      <c r="J80" s="195" t="s">
        <v>0</v>
      </c>
      <c r="K80" s="195"/>
      <c r="L80" s="195">
        <v>2207.3812100000009</v>
      </c>
      <c r="M80" s="195">
        <v>11352.246139999999</v>
      </c>
      <c r="N80" s="195">
        <v>19866.430770000003</v>
      </c>
      <c r="O80" s="195">
        <v>28236.666519999995</v>
      </c>
      <c r="P80" s="195">
        <v>36124.678719999996</v>
      </c>
      <c r="Q80" s="195">
        <v>34214.400240000003</v>
      </c>
      <c r="R80" s="195">
        <v>40629.600380000003</v>
      </c>
      <c r="S80" s="195">
        <v>47044.800519999997</v>
      </c>
      <c r="T80" s="195">
        <v>53459.479480000002</v>
      </c>
      <c r="U80" s="195">
        <v>59836.405510000004</v>
      </c>
      <c r="V80" s="196">
        <v>66087.512530000007</v>
      </c>
      <c r="W80" s="196">
        <v>73058.114475508119</v>
      </c>
      <c r="X80" s="196">
        <v>80558.542960197359</v>
      </c>
      <c r="Y80" s="196">
        <v>86787.6</v>
      </c>
      <c r="Z80" s="196">
        <v>91097</v>
      </c>
      <c r="AA80" s="196">
        <v>97230</v>
      </c>
      <c r="AB80" s="196">
        <v>103294</v>
      </c>
      <c r="AC80" s="196">
        <v>109305</v>
      </c>
      <c r="AD80" s="196">
        <v>115203</v>
      </c>
      <c r="AE80" s="196">
        <v>121053</v>
      </c>
      <c r="AF80" s="196">
        <v>126723</v>
      </c>
      <c r="AG80" s="196">
        <v>132699</v>
      </c>
      <c r="AH80" s="196">
        <v>138350</v>
      </c>
      <c r="AI80" s="196">
        <v>144198</v>
      </c>
      <c r="AJ80" s="196">
        <v>150198</v>
      </c>
      <c r="AK80" s="196">
        <v>156370</v>
      </c>
      <c r="AL80" s="196">
        <v>162543</v>
      </c>
      <c r="AM80" s="196">
        <v>168715</v>
      </c>
      <c r="AN80" s="196">
        <v>250337</v>
      </c>
      <c r="AO80" s="196">
        <v>245276</v>
      </c>
      <c r="AP80" s="196">
        <v>240054</v>
      </c>
      <c r="AQ80" s="196">
        <v>236584</v>
      </c>
      <c r="AR80" s="196">
        <v>264751</v>
      </c>
      <c r="AS80" s="196">
        <v>261105</v>
      </c>
      <c r="AT80" s="196">
        <v>211922</v>
      </c>
      <c r="AU80" s="196">
        <v>250876</v>
      </c>
      <c r="AV80" s="196">
        <v>70432</v>
      </c>
      <c r="AW80" s="196">
        <v>222210</v>
      </c>
      <c r="AX80" s="196">
        <v>222210</v>
      </c>
      <c r="AY80" s="196">
        <v>183693</v>
      </c>
      <c r="AZ80" s="196">
        <v>139251</v>
      </c>
      <c r="BA80" s="196">
        <v>97032</v>
      </c>
    </row>
    <row r="81" spans="1:53" s="11" customFormat="1" hidden="1" x14ac:dyDescent="0.25">
      <c r="A81" s="199" t="s">
        <v>217</v>
      </c>
      <c r="B81" s="342"/>
      <c r="C81" s="199"/>
      <c r="D81" s="199"/>
      <c r="E81" s="199"/>
      <c r="F81" s="199"/>
      <c r="G81" s="195"/>
      <c r="H81" s="195"/>
      <c r="I81" s="195"/>
      <c r="J81" s="195" t="s">
        <v>0</v>
      </c>
      <c r="K81" s="195"/>
      <c r="L81" s="195">
        <v>49636.187189764707</v>
      </c>
      <c r="M81" s="195">
        <v>73015.410119999986</v>
      </c>
      <c r="N81" s="195">
        <v>71250.421599999987</v>
      </c>
      <c r="O81" s="195">
        <v>69574.39026</v>
      </c>
      <c r="P81" s="195">
        <v>126190.24338999999</v>
      </c>
      <c r="Q81" s="195">
        <v>84547.932159999997</v>
      </c>
      <c r="R81" s="195">
        <v>83203.485970000009</v>
      </c>
      <c r="S81" s="195">
        <v>82731.608919999999</v>
      </c>
      <c r="T81" s="195">
        <v>123869.6691</v>
      </c>
      <c r="U81" s="195">
        <v>122092.01679000001</v>
      </c>
      <c r="V81" s="196">
        <v>121000.08679</v>
      </c>
      <c r="W81" s="196">
        <v>115520.94463070865</v>
      </c>
      <c r="X81" s="196">
        <v>160893.92886148015</v>
      </c>
      <c r="Y81" s="196">
        <v>159592.6</v>
      </c>
      <c r="Z81" s="196">
        <v>157685</v>
      </c>
      <c r="AA81" s="196">
        <v>156401</v>
      </c>
      <c r="AB81" s="196">
        <v>192332</v>
      </c>
      <c r="AC81" s="196">
        <v>190889</v>
      </c>
      <c r="AD81" s="196">
        <v>188722</v>
      </c>
      <c r="AE81" s="196">
        <v>187744</v>
      </c>
      <c r="AF81" s="196">
        <v>222184</v>
      </c>
      <c r="AG81" s="196">
        <v>218190</v>
      </c>
      <c r="AH81" s="196">
        <v>211502</v>
      </c>
      <c r="AI81" s="196">
        <v>206569</v>
      </c>
      <c r="AJ81" s="196">
        <v>237604</v>
      </c>
      <c r="AK81" s="196">
        <v>231145</v>
      </c>
      <c r="AL81" s="196">
        <v>223817</v>
      </c>
      <c r="AM81" s="196">
        <v>220493</v>
      </c>
      <c r="AN81" s="196">
        <v>174887</v>
      </c>
      <c r="AO81" s="196">
        <v>181060</v>
      </c>
      <c r="AP81" s="196">
        <v>187232</v>
      </c>
      <c r="AQ81" s="196">
        <v>193405</v>
      </c>
      <c r="AR81" s="196">
        <v>199577</v>
      </c>
      <c r="AS81" s="196">
        <v>205750</v>
      </c>
      <c r="AT81" s="196">
        <v>255318</v>
      </c>
      <c r="AU81" s="196">
        <v>218095</v>
      </c>
      <c r="AV81" s="196">
        <v>222210</v>
      </c>
      <c r="AW81" s="196">
        <v>69587</v>
      </c>
      <c r="AX81" s="196">
        <v>36102</v>
      </c>
      <c r="AY81" s="196">
        <v>0</v>
      </c>
      <c r="AZ81" s="196">
        <v>0</v>
      </c>
      <c r="BA81" s="196">
        <v>0</v>
      </c>
    </row>
    <row r="82" spans="1:53" s="11" customFormat="1" hidden="1" x14ac:dyDescent="0.25">
      <c r="A82" s="199" t="s">
        <v>221</v>
      </c>
      <c r="B82" s="342"/>
      <c r="C82" s="199"/>
      <c r="D82" s="199"/>
      <c r="E82" s="199"/>
      <c r="F82" s="199"/>
      <c r="G82" s="195"/>
      <c r="H82" s="195"/>
      <c r="I82" s="195"/>
      <c r="J82" s="195" t="s">
        <v>0</v>
      </c>
      <c r="K82" s="195"/>
      <c r="L82" s="195">
        <v>2922.5726899999977</v>
      </c>
      <c r="M82" s="195">
        <v>15030.373880000001</v>
      </c>
      <c r="N82" s="195">
        <v>26303.154320000001</v>
      </c>
      <c r="O82" s="195">
        <v>37385.345970000002</v>
      </c>
      <c r="P82" s="195">
        <v>47829.074540000001</v>
      </c>
      <c r="Q82" s="195">
        <v>45299.866320000008</v>
      </c>
      <c r="R82" s="195">
        <v>53793.591280000001</v>
      </c>
      <c r="S82" s="195">
        <v>62287.316240000007</v>
      </c>
      <c r="T82" s="195">
        <v>70780.351349999997</v>
      </c>
      <c r="U82" s="195">
        <v>79223.376780000021</v>
      </c>
      <c r="V82" s="196">
        <v>87499.832090000011</v>
      </c>
      <c r="W82" s="196">
        <v>96728.942999528954</v>
      </c>
      <c r="X82" s="196">
        <v>106659.51029512045</v>
      </c>
      <c r="Y82" s="196">
        <v>114906.7</v>
      </c>
      <c r="Z82" s="196">
        <v>120612</v>
      </c>
      <c r="AA82" s="196">
        <v>128732</v>
      </c>
      <c r="AB82" s="196">
        <v>136761</v>
      </c>
      <c r="AC82" s="196">
        <v>144720</v>
      </c>
      <c r="AD82" s="196">
        <v>152528</v>
      </c>
      <c r="AE82" s="196">
        <v>160274</v>
      </c>
      <c r="AF82" s="196">
        <v>167960</v>
      </c>
      <c r="AG82" s="196">
        <v>175693</v>
      </c>
      <c r="AH82" s="196">
        <v>183175</v>
      </c>
      <c r="AI82" s="196">
        <v>190918</v>
      </c>
      <c r="AJ82" s="196">
        <v>198861</v>
      </c>
      <c r="AK82" s="196">
        <v>207034</v>
      </c>
      <c r="AL82" s="196">
        <v>215206</v>
      </c>
      <c r="AM82" s="196">
        <v>200883</v>
      </c>
      <c r="AN82" s="196">
        <v>198322</v>
      </c>
      <c r="AO82" s="196">
        <v>205322</v>
      </c>
      <c r="AP82" s="196">
        <v>212324</v>
      </c>
      <c r="AQ82" s="196">
        <v>88515</v>
      </c>
      <c r="AR82" s="196">
        <v>91340</v>
      </c>
      <c r="AS82" s="196">
        <v>65086</v>
      </c>
      <c r="AT82" s="196">
        <v>67038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</row>
    <row r="83" spans="1:53" s="11" customFormat="1" hidden="1" x14ac:dyDescent="0.25">
      <c r="A83" s="203" t="s">
        <v>209</v>
      </c>
      <c r="B83" s="344"/>
      <c r="C83" s="203"/>
      <c r="D83" s="203"/>
      <c r="E83" s="203"/>
      <c r="F83" s="203"/>
      <c r="G83" s="195"/>
      <c r="H83" s="195"/>
      <c r="I83" s="195"/>
      <c r="J83" s="198">
        <v>152740.80022</v>
      </c>
      <c r="K83" s="195"/>
      <c r="L83" s="195">
        <v>161467.20022</v>
      </c>
      <c r="M83" s="195">
        <v>165830.40022000001</v>
      </c>
      <c r="N83" s="195">
        <v>170193.60021999999</v>
      </c>
      <c r="O83" s="195">
        <v>174556.8002</v>
      </c>
      <c r="P83" s="195">
        <v>178920.00021999999</v>
      </c>
      <c r="Q83" s="195">
        <v>183283.20022</v>
      </c>
      <c r="R83" s="195">
        <v>187646.40022000001</v>
      </c>
      <c r="S83" s="195">
        <v>192009.60021999999</v>
      </c>
      <c r="T83" s="195">
        <v>196372.80022</v>
      </c>
      <c r="U83" s="195">
        <v>200736.21418000001</v>
      </c>
      <c r="V83" s="196">
        <v>205099.41418000002</v>
      </c>
      <c r="W83" s="196">
        <v>198997.2847389204</v>
      </c>
      <c r="X83" s="196">
        <v>204213.34741025619</v>
      </c>
      <c r="Y83" s="196">
        <v>209189.4</v>
      </c>
      <c r="Z83" s="196">
        <v>222552</v>
      </c>
      <c r="AA83" s="196">
        <v>226915</v>
      </c>
      <c r="AB83" s="196">
        <v>231278</v>
      </c>
      <c r="AC83" s="196">
        <v>235607</v>
      </c>
      <c r="AD83" s="196">
        <v>240005</v>
      </c>
      <c r="AE83" s="196">
        <v>244368</v>
      </c>
      <c r="AF83" s="196">
        <v>248731</v>
      </c>
      <c r="AG83" s="196">
        <v>253094</v>
      </c>
      <c r="AH83" s="196">
        <v>257458</v>
      </c>
      <c r="AI83" s="196">
        <v>261821</v>
      </c>
      <c r="AJ83" s="196">
        <v>266184</v>
      </c>
      <c r="AK83" s="196">
        <v>270547</v>
      </c>
      <c r="AL83" s="196">
        <v>274910</v>
      </c>
      <c r="AM83" s="196">
        <v>279274</v>
      </c>
      <c r="AN83" s="196">
        <v>283637</v>
      </c>
      <c r="AO83" s="196">
        <v>288000</v>
      </c>
      <c r="AP83" s="196">
        <v>288000</v>
      </c>
      <c r="AQ83" s="196">
        <v>288000</v>
      </c>
      <c r="AR83" s="196">
        <v>288000</v>
      </c>
      <c r="AS83" s="196">
        <v>288000</v>
      </c>
      <c r="AT83" s="196">
        <v>288000</v>
      </c>
      <c r="AU83" s="196">
        <v>288000</v>
      </c>
      <c r="AV83" s="196">
        <v>288000</v>
      </c>
      <c r="AW83" s="196">
        <v>288000</v>
      </c>
      <c r="AX83" s="196">
        <v>288000</v>
      </c>
      <c r="AY83" s="196">
        <v>0</v>
      </c>
      <c r="AZ83" s="196">
        <v>0</v>
      </c>
      <c r="BA83" s="196">
        <v>0</v>
      </c>
    </row>
    <row r="84" spans="1:53" s="11" customFormat="1" hidden="1" x14ac:dyDescent="0.25">
      <c r="A84" s="203" t="s">
        <v>234</v>
      </c>
      <c r="B84" s="344"/>
      <c r="C84" s="203"/>
      <c r="D84" s="203"/>
      <c r="E84" s="203"/>
      <c r="F84" s="203"/>
      <c r="G84" s="195"/>
      <c r="H84" s="195"/>
      <c r="I84" s="195"/>
      <c r="J84" s="198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</row>
    <row r="85" spans="1:53" s="11" customFormat="1" hidden="1" x14ac:dyDescent="0.25">
      <c r="A85" s="199" t="s">
        <v>216</v>
      </c>
      <c r="B85" s="342"/>
      <c r="C85" s="199"/>
      <c r="D85" s="199"/>
      <c r="E85" s="199"/>
      <c r="F85" s="199"/>
      <c r="G85" s="195"/>
      <c r="H85" s="195"/>
      <c r="I85" s="195"/>
      <c r="J85" s="195" t="s">
        <v>0</v>
      </c>
      <c r="K85" s="195"/>
      <c r="L85" s="195">
        <v>0</v>
      </c>
      <c r="M85" s="195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28520</v>
      </c>
      <c r="AI85" s="196">
        <v>28520</v>
      </c>
      <c r="AJ85" s="196">
        <v>57100</v>
      </c>
      <c r="AK85" s="196">
        <v>57100</v>
      </c>
      <c r="AL85" s="196">
        <v>85680</v>
      </c>
      <c r="AM85" s="196">
        <v>85680</v>
      </c>
      <c r="AN85" s="196">
        <v>114260</v>
      </c>
      <c r="AO85" s="196">
        <v>114260</v>
      </c>
      <c r="AP85" s="196">
        <v>142840</v>
      </c>
      <c r="AQ85" s="196">
        <v>142840</v>
      </c>
      <c r="AR85" s="196">
        <v>171420</v>
      </c>
      <c r="AS85" s="196">
        <v>171420</v>
      </c>
      <c r="AT85" s="196">
        <v>200000</v>
      </c>
      <c r="AU85" s="196">
        <v>200000</v>
      </c>
      <c r="AV85" s="196">
        <v>200000</v>
      </c>
      <c r="AW85" s="196">
        <v>200000</v>
      </c>
      <c r="AX85" s="196">
        <v>0</v>
      </c>
      <c r="AY85" s="196">
        <v>0</v>
      </c>
      <c r="AZ85" s="196">
        <v>0</v>
      </c>
      <c r="BA85" s="196">
        <v>0</v>
      </c>
    </row>
    <row r="86" spans="1:53" s="11" customFormat="1" hidden="1" x14ac:dyDescent="0.25">
      <c r="A86" s="199" t="s">
        <v>217</v>
      </c>
      <c r="B86" s="342"/>
      <c r="C86" s="199"/>
      <c r="D86" s="199"/>
      <c r="E86" s="199"/>
      <c r="F86" s="199"/>
      <c r="G86" s="195"/>
      <c r="H86" s="195"/>
      <c r="I86" s="195"/>
      <c r="J86" s="195" t="s">
        <v>0</v>
      </c>
      <c r="K86" s="195"/>
      <c r="L86" s="195">
        <v>0</v>
      </c>
      <c r="M86" s="195">
        <v>0</v>
      </c>
      <c r="N86" s="195">
        <v>0</v>
      </c>
      <c r="O86" s="195">
        <v>0</v>
      </c>
      <c r="P86" s="195">
        <v>0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6">
        <v>0</v>
      </c>
      <c r="W86" s="196">
        <v>14319.038561053332</v>
      </c>
      <c r="X86" s="196">
        <v>13834.051684188122</v>
      </c>
      <c r="Y86" s="196">
        <v>13607.1</v>
      </c>
      <c r="Z86" s="196">
        <v>46849</v>
      </c>
      <c r="AA86" s="196">
        <v>46288</v>
      </c>
      <c r="AB86" s="196">
        <v>46136</v>
      </c>
      <c r="AC86" s="196">
        <v>46384</v>
      </c>
      <c r="AD86" s="196">
        <v>92702</v>
      </c>
      <c r="AE86" s="196">
        <v>92595</v>
      </c>
      <c r="AF86" s="196">
        <v>91024</v>
      </c>
      <c r="AG86" s="196">
        <v>89388</v>
      </c>
      <c r="AH86" s="196">
        <v>129998</v>
      </c>
      <c r="AI86" s="196">
        <v>126966</v>
      </c>
      <c r="AJ86" s="196">
        <v>124920</v>
      </c>
      <c r="AK86" s="196">
        <v>121524</v>
      </c>
      <c r="AL86" s="196">
        <v>156910</v>
      </c>
      <c r="AM86" s="196">
        <v>154580</v>
      </c>
      <c r="AN86" s="196">
        <v>153565</v>
      </c>
      <c r="AO86" s="196">
        <v>150460</v>
      </c>
      <c r="AP86" s="196">
        <v>184083</v>
      </c>
      <c r="AQ86" s="196">
        <v>181421</v>
      </c>
      <c r="AR86" s="196">
        <v>180463</v>
      </c>
      <c r="AS86" s="196">
        <v>177978</v>
      </c>
      <c r="AT86" s="196">
        <v>208848</v>
      </c>
      <c r="AU86" s="196">
        <v>205215</v>
      </c>
      <c r="AV86" s="196">
        <v>203339</v>
      </c>
      <c r="AW86" s="196">
        <v>200900</v>
      </c>
      <c r="AX86" s="196">
        <v>0</v>
      </c>
      <c r="AY86" s="196">
        <v>0</v>
      </c>
      <c r="AZ86" s="196">
        <v>0</v>
      </c>
      <c r="BA86" s="196">
        <v>0</v>
      </c>
    </row>
    <row r="87" spans="1:53" s="11" customFormat="1" hidden="1" x14ac:dyDescent="0.25">
      <c r="A87" s="203" t="s">
        <v>81</v>
      </c>
      <c r="B87" s="344"/>
      <c r="C87" s="203"/>
      <c r="D87" s="203"/>
      <c r="E87" s="203"/>
      <c r="F87" s="203"/>
      <c r="G87" s="195"/>
      <c r="H87" s="195"/>
      <c r="I87" s="195"/>
      <c r="J87" s="198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>
        <v>0</v>
      </c>
      <c r="V87" s="196">
        <v>0</v>
      </c>
      <c r="W87" s="196">
        <v>0</v>
      </c>
      <c r="X87" s="196">
        <v>0</v>
      </c>
      <c r="Y87" s="196">
        <v>0</v>
      </c>
      <c r="Z87" s="196">
        <v>0</v>
      </c>
      <c r="AA87" s="196">
        <v>0</v>
      </c>
      <c r="AB87" s="196">
        <v>0</v>
      </c>
      <c r="AC87" s="196">
        <v>0</v>
      </c>
      <c r="AD87" s="196">
        <v>0</v>
      </c>
      <c r="AE87" s="196">
        <v>0</v>
      </c>
      <c r="AF87" s="196">
        <v>0</v>
      </c>
      <c r="AG87" s="196">
        <v>0</v>
      </c>
      <c r="AH87" s="196">
        <v>0</v>
      </c>
      <c r="AI87" s="196">
        <v>0</v>
      </c>
      <c r="AJ87" s="196">
        <v>0</v>
      </c>
      <c r="AK87" s="196">
        <v>0</v>
      </c>
      <c r="AL87" s="196">
        <v>0</v>
      </c>
      <c r="AM87" s="196">
        <v>0</v>
      </c>
      <c r="AN87" s="196">
        <v>0</v>
      </c>
      <c r="AO87" s="196">
        <v>0</v>
      </c>
      <c r="AP87" s="196">
        <v>0</v>
      </c>
      <c r="AQ87" s="196">
        <v>0</v>
      </c>
      <c r="AR87" s="196">
        <v>0</v>
      </c>
      <c r="AS87" s="196">
        <v>0</v>
      </c>
      <c r="AT87" s="196">
        <v>0</v>
      </c>
      <c r="AU87" s="196">
        <v>0</v>
      </c>
      <c r="AV87" s="196">
        <v>0</v>
      </c>
      <c r="AW87" s="196">
        <v>0</v>
      </c>
      <c r="AX87" s="196">
        <v>0</v>
      </c>
      <c r="AY87" s="196">
        <v>0</v>
      </c>
      <c r="AZ87" s="196">
        <v>0</v>
      </c>
      <c r="BA87" s="196">
        <v>0</v>
      </c>
    </row>
    <row r="88" spans="1:53" s="11" customFormat="1" hidden="1" x14ac:dyDescent="0.25">
      <c r="A88" s="199" t="s">
        <v>216</v>
      </c>
      <c r="B88" s="342"/>
      <c r="C88" s="199"/>
      <c r="D88" s="199"/>
      <c r="E88" s="199"/>
      <c r="F88" s="199"/>
      <c r="G88" s="195"/>
      <c r="H88" s="195"/>
      <c r="I88" s="195"/>
      <c r="J88" s="195" t="s">
        <v>0</v>
      </c>
      <c r="K88" s="195"/>
      <c r="L88" s="195">
        <v>0</v>
      </c>
      <c r="M88" s="195">
        <v>0</v>
      </c>
      <c r="N88" s="195">
        <v>0</v>
      </c>
      <c r="O88" s="195">
        <v>0</v>
      </c>
      <c r="P88" s="195">
        <v>0</v>
      </c>
      <c r="Q88" s="195">
        <v>0</v>
      </c>
      <c r="R88" s="195">
        <v>0</v>
      </c>
      <c r="S88" s="195">
        <v>0</v>
      </c>
      <c r="T88" s="195">
        <v>0</v>
      </c>
      <c r="U88" s="195">
        <v>0</v>
      </c>
      <c r="V88" s="196">
        <v>0</v>
      </c>
      <c r="W88" s="196">
        <v>0</v>
      </c>
      <c r="X88" s="196">
        <v>0</v>
      </c>
      <c r="Y88" s="196">
        <v>130000</v>
      </c>
      <c r="Z88" s="196">
        <v>130000</v>
      </c>
      <c r="AA88" s="196">
        <v>130000</v>
      </c>
      <c r="AB88" s="196">
        <v>130000</v>
      </c>
      <c r="AC88" s="196">
        <v>130000</v>
      </c>
      <c r="AD88" s="196">
        <v>130000</v>
      </c>
      <c r="AE88" s="196">
        <v>130000</v>
      </c>
      <c r="AF88" s="196">
        <v>130000</v>
      </c>
      <c r="AG88" s="196">
        <v>130000</v>
      </c>
      <c r="AH88" s="196">
        <v>130000</v>
      </c>
      <c r="AI88" s="196">
        <v>130000</v>
      </c>
      <c r="AJ88" s="196">
        <v>130000</v>
      </c>
      <c r="AK88" s="196">
        <v>130000</v>
      </c>
      <c r="AL88" s="196">
        <v>130000</v>
      </c>
      <c r="AM88" s="196">
        <v>130000</v>
      </c>
      <c r="AN88" s="196">
        <v>130000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</row>
    <row r="89" spans="1:53" s="11" customFormat="1" hidden="1" x14ac:dyDescent="0.25">
      <c r="A89" s="199" t="s">
        <v>217</v>
      </c>
      <c r="B89" s="342"/>
      <c r="C89" s="199"/>
      <c r="D89" s="199"/>
      <c r="E89" s="199"/>
      <c r="F89" s="199"/>
      <c r="G89" s="195"/>
      <c r="H89" s="195"/>
      <c r="I89" s="195"/>
      <c r="J89" s="195" t="s">
        <v>0</v>
      </c>
      <c r="K89" s="195"/>
      <c r="L89" s="195">
        <v>0</v>
      </c>
      <c r="M89" s="195">
        <v>0</v>
      </c>
      <c r="N89" s="195">
        <v>0</v>
      </c>
      <c r="O89" s="195">
        <v>0</v>
      </c>
      <c r="P89" s="195">
        <v>0</v>
      </c>
      <c r="Q89" s="195">
        <v>33106.0147</v>
      </c>
      <c r="R89" s="195">
        <v>32579.576560000001</v>
      </c>
      <c r="S89" s="195">
        <v>32394.80601</v>
      </c>
      <c r="T89" s="195">
        <v>32294.585170000002</v>
      </c>
      <c r="U89" s="195">
        <v>63329.820910000002</v>
      </c>
      <c r="V89" s="196">
        <v>62763.431230000002</v>
      </c>
      <c r="W89" s="196">
        <v>63071.649037542957</v>
      </c>
      <c r="X89" s="196">
        <v>61838.156360001252</v>
      </c>
      <c r="Y89" s="196">
        <v>91714.1</v>
      </c>
      <c r="Z89" s="196">
        <v>90550</v>
      </c>
      <c r="AA89" s="196">
        <v>89765</v>
      </c>
      <c r="AB89" s="196">
        <v>89553</v>
      </c>
      <c r="AC89" s="196">
        <v>118639</v>
      </c>
      <c r="AD89" s="196">
        <v>117253</v>
      </c>
      <c r="AE89" s="196">
        <v>116272</v>
      </c>
      <c r="AF89" s="196">
        <v>114505</v>
      </c>
      <c r="AG89" s="196">
        <v>141326</v>
      </c>
      <c r="AH89" s="196">
        <v>136994</v>
      </c>
      <c r="AI89" s="196">
        <v>133799</v>
      </c>
      <c r="AJ89" s="196">
        <v>131642</v>
      </c>
      <c r="AK89" s="196">
        <v>128064</v>
      </c>
      <c r="AL89" s="196">
        <v>124004</v>
      </c>
      <c r="AM89" s="196">
        <v>122162</v>
      </c>
      <c r="AN89" s="196">
        <v>121360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</row>
    <row r="90" spans="1:53" s="11" customFormat="1" hidden="1" x14ac:dyDescent="0.25">
      <c r="A90" s="203" t="s">
        <v>80</v>
      </c>
      <c r="B90" s="344"/>
      <c r="C90" s="203"/>
      <c r="D90" s="203"/>
      <c r="E90" s="203"/>
      <c r="F90" s="203"/>
      <c r="G90" s="195"/>
      <c r="H90" s="195"/>
      <c r="I90" s="195"/>
      <c r="J90" s="198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</row>
    <row r="91" spans="1:53" s="11" customFormat="1" hidden="1" x14ac:dyDescent="0.25">
      <c r="A91" s="199" t="s">
        <v>216</v>
      </c>
      <c r="B91" s="342"/>
      <c r="C91" s="199"/>
      <c r="D91" s="199"/>
      <c r="E91" s="199"/>
      <c r="F91" s="199"/>
      <c r="G91" s="195"/>
      <c r="H91" s="195"/>
      <c r="I91" s="195"/>
      <c r="J91" s="198">
        <v>44813.53931</v>
      </c>
      <c r="K91" s="195"/>
      <c r="L91" s="195">
        <v>48887.497440000065</v>
      </c>
      <c r="M91" s="195">
        <v>54245.638060000005</v>
      </c>
      <c r="N91" s="195">
        <v>56415.463590000007</v>
      </c>
      <c r="O91" s="195">
        <v>58273.521070000003</v>
      </c>
      <c r="P91" s="195">
        <v>59426.54004</v>
      </c>
      <c r="Q91" s="195">
        <v>57139.200939999995</v>
      </c>
      <c r="R91" s="195">
        <v>59109.517120000004</v>
      </c>
      <c r="S91" s="195">
        <v>54696.911519999994</v>
      </c>
      <c r="T91" s="195">
        <v>56460.778010000002</v>
      </c>
      <c r="U91" s="195">
        <v>58187.999450000003</v>
      </c>
      <c r="V91" s="196">
        <v>59806.537990000004</v>
      </c>
      <c r="W91" s="196">
        <v>59851.197114054972</v>
      </c>
      <c r="X91" s="196">
        <v>61857.760055902734</v>
      </c>
      <c r="Y91" s="196">
        <v>63511.5</v>
      </c>
      <c r="Z91" s="196">
        <v>64623</v>
      </c>
      <c r="AA91" s="196">
        <v>66228</v>
      </c>
      <c r="AB91" s="196">
        <v>58335</v>
      </c>
      <c r="AC91" s="196">
        <v>59633</v>
      </c>
      <c r="AD91" s="196">
        <v>60872</v>
      </c>
      <c r="AE91" s="196">
        <v>62099</v>
      </c>
      <c r="AF91" s="196">
        <v>63315</v>
      </c>
      <c r="AG91" s="196">
        <v>64528</v>
      </c>
      <c r="AH91" s="196">
        <v>37062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</row>
    <row r="92" spans="1:53" s="11" customFormat="1" hidden="1" x14ac:dyDescent="0.25">
      <c r="A92" s="199" t="s">
        <v>217</v>
      </c>
      <c r="B92" s="342"/>
      <c r="C92" s="199"/>
      <c r="D92" s="199"/>
      <c r="E92" s="199"/>
      <c r="F92" s="199"/>
      <c r="G92" s="195"/>
      <c r="H92" s="195"/>
      <c r="I92" s="195"/>
      <c r="J92" s="198">
        <v>25419.458859999999</v>
      </c>
      <c r="K92" s="195"/>
      <c r="L92" s="195">
        <v>26196.173612872226</v>
      </c>
      <c r="M92" s="195">
        <v>28432.374840000004</v>
      </c>
      <c r="N92" s="195">
        <v>28854.887579999999</v>
      </c>
      <c r="O92" s="195">
        <v>29068.742019999998</v>
      </c>
      <c r="P92" s="195">
        <v>29287.56265</v>
      </c>
      <c r="Q92" s="195">
        <v>28301.593129999994</v>
      </c>
      <c r="R92" s="195">
        <v>28811.481970000001</v>
      </c>
      <c r="S92" s="195">
        <v>26130.54448</v>
      </c>
      <c r="T92" s="195">
        <v>26890.016820000001</v>
      </c>
      <c r="U92" s="195">
        <v>27427.896619999996</v>
      </c>
      <c r="V92" s="196">
        <v>28003.441909999998</v>
      </c>
      <c r="W92" s="196">
        <v>26956.870929271907</v>
      </c>
      <c r="X92" s="196">
        <v>28467.452857916109</v>
      </c>
      <c r="Y92" s="196">
        <v>29046.7</v>
      </c>
      <c r="Z92" s="196">
        <v>29274</v>
      </c>
      <c r="AA92" s="196">
        <v>29833</v>
      </c>
      <c r="AB92" s="196">
        <v>26513</v>
      </c>
      <c r="AC92" s="196">
        <v>26974</v>
      </c>
      <c r="AD92" s="196">
        <v>27344</v>
      </c>
      <c r="AE92" s="196">
        <v>27853</v>
      </c>
      <c r="AF92" s="196">
        <v>28269</v>
      </c>
      <c r="AG92" s="196">
        <v>28259</v>
      </c>
      <c r="AH92" s="196">
        <v>15578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</row>
    <row r="93" spans="1:53" s="11" customFormat="1" hidden="1" x14ac:dyDescent="0.25">
      <c r="A93" s="203" t="s">
        <v>79</v>
      </c>
      <c r="B93" s="344"/>
      <c r="C93" s="203"/>
      <c r="D93" s="203"/>
      <c r="E93" s="203"/>
      <c r="F93" s="203"/>
      <c r="G93" s="195"/>
      <c r="H93" s="195"/>
      <c r="I93" s="195"/>
      <c r="J93" s="198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>
        <v>0</v>
      </c>
      <c r="V93" s="196">
        <v>0</v>
      </c>
      <c r="W93" s="196">
        <v>0</v>
      </c>
      <c r="X93" s="196">
        <v>0</v>
      </c>
      <c r="Y93" s="196">
        <v>0</v>
      </c>
      <c r="Z93" s="196">
        <v>0</v>
      </c>
      <c r="AA93" s="196">
        <v>0</v>
      </c>
      <c r="AB93" s="196">
        <v>0</v>
      </c>
      <c r="AC93" s="196">
        <v>0</v>
      </c>
      <c r="AD93" s="196">
        <v>0</v>
      </c>
      <c r="AE93" s="196">
        <v>0</v>
      </c>
      <c r="AF93" s="196">
        <v>0</v>
      </c>
      <c r="AG93" s="196">
        <v>0</v>
      </c>
      <c r="AH93" s="196">
        <v>0</v>
      </c>
      <c r="AI93" s="196">
        <v>0</v>
      </c>
      <c r="AJ93" s="196">
        <v>0</v>
      </c>
      <c r="AK93" s="196">
        <v>0</v>
      </c>
      <c r="AL93" s="196">
        <v>0</v>
      </c>
      <c r="AM93" s="196">
        <v>0</v>
      </c>
      <c r="AN93" s="196">
        <v>0</v>
      </c>
      <c r="AO93" s="196">
        <v>0</v>
      </c>
      <c r="AP93" s="196">
        <v>0</v>
      </c>
      <c r="AQ93" s="196">
        <v>0</v>
      </c>
      <c r="AR93" s="196">
        <v>0</v>
      </c>
      <c r="AS93" s="196">
        <v>0</v>
      </c>
      <c r="AT93" s="196">
        <v>0</v>
      </c>
      <c r="AU93" s="196">
        <v>0</v>
      </c>
      <c r="AV93" s="196">
        <v>0</v>
      </c>
      <c r="AW93" s="196">
        <v>0</v>
      </c>
      <c r="AX93" s="196">
        <v>0</v>
      </c>
      <c r="AY93" s="196">
        <v>0</v>
      </c>
      <c r="AZ93" s="196">
        <v>0</v>
      </c>
      <c r="BA93" s="196">
        <v>0</v>
      </c>
    </row>
    <row r="94" spans="1:53" s="11" customFormat="1" hidden="1" x14ac:dyDescent="0.25">
      <c r="A94" s="199" t="s">
        <v>216</v>
      </c>
      <c r="B94" s="342"/>
      <c r="C94" s="199"/>
      <c r="D94" s="199"/>
      <c r="E94" s="199"/>
      <c r="F94" s="199"/>
      <c r="G94" s="195"/>
      <c r="H94" s="195"/>
      <c r="I94" s="195"/>
      <c r="J94" s="195" t="s">
        <v>0</v>
      </c>
      <c r="K94" s="195"/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6">
        <v>0</v>
      </c>
      <c r="W94" s="196">
        <v>0</v>
      </c>
      <c r="X94" s="196">
        <v>146447.46669550842</v>
      </c>
      <c r="Y94" s="196">
        <v>174114</v>
      </c>
      <c r="Z94" s="196">
        <v>193667</v>
      </c>
      <c r="AA94" s="196">
        <v>221334</v>
      </c>
      <c r="AB94" s="196">
        <v>249000</v>
      </c>
      <c r="AC94" s="196">
        <v>276450</v>
      </c>
      <c r="AD94" s="196">
        <v>304333</v>
      </c>
      <c r="AE94" s="196">
        <v>332000</v>
      </c>
      <c r="AF94" s="196">
        <v>332000</v>
      </c>
      <c r="AG94" s="196">
        <v>332000</v>
      </c>
      <c r="AH94" s="196">
        <v>332000</v>
      </c>
      <c r="AI94" s="196">
        <v>332000</v>
      </c>
      <c r="AJ94" s="196">
        <v>0</v>
      </c>
      <c r="AK94" s="196">
        <v>0</v>
      </c>
      <c r="AL94" s="196">
        <v>0</v>
      </c>
      <c r="AM94" s="196">
        <v>0</v>
      </c>
      <c r="AN94" s="196">
        <v>0</v>
      </c>
      <c r="AO94" s="196">
        <v>0</v>
      </c>
      <c r="AP94" s="196">
        <v>0</v>
      </c>
      <c r="AQ94" s="196">
        <v>0</v>
      </c>
      <c r="AR94" s="196">
        <v>0</v>
      </c>
      <c r="AS94" s="196">
        <v>0</v>
      </c>
      <c r="AT94" s="196">
        <v>0</v>
      </c>
      <c r="AU94" s="196">
        <v>0</v>
      </c>
      <c r="AV94" s="196">
        <v>0</v>
      </c>
      <c r="AW94" s="196">
        <v>0</v>
      </c>
      <c r="AX94" s="196">
        <v>0</v>
      </c>
      <c r="AY94" s="196">
        <v>0</v>
      </c>
      <c r="AZ94" s="196">
        <v>0</v>
      </c>
      <c r="BA94" s="196">
        <v>0</v>
      </c>
    </row>
    <row r="95" spans="1:53" s="11" customFormat="1" hidden="1" x14ac:dyDescent="0.25">
      <c r="A95" s="199" t="s">
        <v>217</v>
      </c>
      <c r="B95" s="342"/>
      <c r="C95" s="199"/>
      <c r="D95" s="199"/>
      <c r="E95" s="199"/>
      <c r="F95" s="199"/>
      <c r="G95" s="195"/>
      <c r="H95" s="195"/>
      <c r="I95" s="195"/>
      <c r="J95" s="195" t="s">
        <v>0</v>
      </c>
      <c r="K95" s="195"/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6">
        <v>0</v>
      </c>
      <c r="W95" s="196">
        <v>0</v>
      </c>
      <c r="X95" s="196">
        <v>20702.460079230805</v>
      </c>
      <c r="Y95" s="196">
        <v>20556.400000000001</v>
      </c>
      <c r="Z95" s="196">
        <v>20342</v>
      </c>
      <c r="AA95" s="196">
        <v>20198</v>
      </c>
      <c r="AB95" s="196">
        <v>20112</v>
      </c>
      <c r="AC95" s="196">
        <v>19961</v>
      </c>
      <c r="AD95" s="196">
        <v>19761</v>
      </c>
      <c r="AE95" s="196">
        <v>19659</v>
      </c>
      <c r="AF95" s="196">
        <v>19403</v>
      </c>
      <c r="AG95" s="196">
        <v>19054</v>
      </c>
      <c r="AH95" s="196">
        <v>18470</v>
      </c>
      <c r="AI95" s="196">
        <v>18040</v>
      </c>
      <c r="AJ95" s="196">
        <v>0</v>
      </c>
      <c r="AK95" s="196">
        <v>0</v>
      </c>
      <c r="AL95" s="196">
        <v>0</v>
      </c>
      <c r="AM95" s="196">
        <v>0</v>
      </c>
      <c r="AN95" s="196">
        <v>0</v>
      </c>
      <c r="AO95" s="196">
        <v>0</v>
      </c>
      <c r="AP95" s="196">
        <v>0</v>
      </c>
      <c r="AQ95" s="196">
        <v>0</v>
      </c>
      <c r="AR95" s="196">
        <v>0</v>
      </c>
      <c r="AS95" s="196">
        <v>0</v>
      </c>
      <c r="AT95" s="196">
        <v>0</v>
      </c>
      <c r="AU95" s="196">
        <v>0</v>
      </c>
      <c r="AV95" s="196">
        <v>0</v>
      </c>
      <c r="AW95" s="196">
        <v>0</v>
      </c>
      <c r="AX95" s="196">
        <v>0</v>
      </c>
      <c r="AY95" s="196">
        <v>0</v>
      </c>
      <c r="AZ95" s="196">
        <v>0</v>
      </c>
      <c r="BA95" s="196">
        <v>0</v>
      </c>
    </row>
    <row r="96" spans="1:53" s="11" customFormat="1" hidden="1" x14ac:dyDescent="0.25">
      <c r="A96" s="203" t="s">
        <v>78</v>
      </c>
      <c r="B96" s="344"/>
      <c r="C96" s="203"/>
      <c r="D96" s="203"/>
      <c r="E96" s="203"/>
      <c r="F96" s="203"/>
      <c r="G96" s="195"/>
      <c r="H96" s="195"/>
      <c r="I96" s="195"/>
      <c r="J96" s="195" t="s">
        <v>0</v>
      </c>
      <c r="K96" s="195"/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6">
        <v>0</v>
      </c>
      <c r="W96" s="196">
        <v>0</v>
      </c>
      <c r="X96" s="196">
        <v>37532.9014125299</v>
      </c>
      <c r="Y96" s="196">
        <v>37532.9</v>
      </c>
      <c r="Z96" s="196">
        <v>79980</v>
      </c>
      <c r="AA96" s="196">
        <v>79980</v>
      </c>
      <c r="AB96" s="196">
        <v>100000</v>
      </c>
      <c r="AC96" s="196">
        <v>99843</v>
      </c>
      <c r="AD96" s="196">
        <v>120000</v>
      </c>
      <c r="AE96" s="196">
        <v>120000</v>
      </c>
      <c r="AF96" s="196">
        <v>0</v>
      </c>
      <c r="AG96" s="196">
        <v>0</v>
      </c>
      <c r="AH96" s="196">
        <v>0</v>
      </c>
      <c r="AI96" s="196">
        <v>0</v>
      </c>
      <c r="AJ96" s="196">
        <v>0</v>
      </c>
      <c r="AK96" s="196">
        <v>0</v>
      </c>
      <c r="AL96" s="196">
        <v>0</v>
      </c>
      <c r="AM96" s="196">
        <v>0</v>
      </c>
      <c r="AN96" s="196">
        <v>0</v>
      </c>
      <c r="AO96" s="196">
        <v>0</v>
      </c>
      <c r="AP96" s="196">
        <v>0</v>
      </c>
      <c r="AQ96" s="196">
        <v>0</v>
      </c>
      <c r="AR96" s="196">
        <v>0</v>
      </c>
      <c r="AS96" s="196">
        <v>0</v>
      </c>
      <c r="AT96" s="196">
        <v>0</v>
      </c>
      <c r="AU96" s="196">
        <v>0</v>
      </c>
      <c r="AV96" s="196">
        <v>0</v>
      </c>
      <c r="AW96" s="196">
        <v>0</v>
      </c>
      <c r="AX96" s="196">
        <v>0</v>
      </c>
      <c r="AY96" s="196">
        <v>0</v>
      </c>
      <c r="AZ96" s="196">
        <v>0</v>
      </c>
      <c r="BA96" s="196">
        <v>0</v>
      </c>
    </row>
    <row r="97" spans="1:53" s="11" customFormat="1" hidden="1" x14ac:dyDescent="0.25">
      <c r="A97" s="203" t="s">
        <v>77</v>
      </c>
      <c r="B97" s="344"/>
      <c r="C97" s="203"/>
      <c r="D97" s="203"/>
      <c r="E97" s="203"/>
      <c r="F97" s="203"/>
      <c r="G97" s="195"/>
      <c r="H97" s="195"/>
      <c r="I97" s="195"/>
      <c r="J97" s="198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>
        <v>0</v>
      </c>
      <c r="V97" s="196">
        <v>0</v>
      </c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</row>
    <row r="98" spans="1:53" s="11" customFormat="1" hidden="1" x14ac:dyDescent="0.25">
      <c r="A98" s="199" t="s">
        <v>216</v>
      </c>
      <c r="B98" s="342"/>
      <c r="C98" s="199"/>
      <c r="D98" s="199"/>
      <c r="E98" s="199"/>
      <c r="F98" s="199"/>
      <c r="G98" s="195"/>
      <c r="H98" s="195"/>
      <c r="I98" s="195"/>
      <c r="J98" s="198">
        <v>98016.69571</v>
      </c>
      <c r="K98" s="195"/>
      <c r="L98" s="195">
        <v>104079.58657000015</v>
      </c>
      <c r="M98" s="195">
        <v>112335.96182000001</v>
      </c>
      <c r="N98" s="195">
        <v>115515.28265000002</v>
      </c>
      <c r="O98" s="195">
        <v>99332.699660000013</v>
      </c>
      <c r="P98" s="195">
        <v>100117.41385000001</v>
      </c>
      <c r="Q98" s="195">
        <v>96748.744749999998</v>
      </c>
      <c r="R98" s="195">
        <v>99208.463359999994</v>
      </c>
      <c r="S98" s="195">
        <v>101668.18197000002</v>
      </c>
      <c r="T98" s="195">
        <v>104126.88479000001</v>
      </c>
      <c r="U98" s="195">
        <v>67955.039400000009</v>
      </c>
      <c r="V98" s="196">
        <v>69355.392810000005</v>
      </c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</row>
    <row r="99" spans="1:53" s="11" customFormat="1" hidden="1" x14ac:dyDescent="0.25">
      <c r="A99" s="199" t="s">
        <v>217</v>
      </c>
      <c r="B99" s="342"/>
      <c r="C99" s="199"/>
      <c r="D99" s="199"/>
      <c r="E99" s="199"/>
      <c r="F99" s="199"/>
      <c r="G99" s="195"/>
      <c r="H99" s="195"/>
      <c r="I99" s="195"/>
      <c r="J99" s="198">
        <v>52925.717140000001</v>
      </c>
      <c r="K99" s="195"/>
      <c r="L99" s="195">
        <v>53090.306549304885</v>
      </c>
      <c r="M99" s="195">
        <v>56050.144919999999</v>
      </c>
      <c r="N99" s="195">
        <v>56243.233699999997</v>
      </c>
      <c r="O99" s="195">
        <v>47017.37412</v>
      </c>
      <c r="P99" s="195">
        <v>46828.396379999998</v>
      </c>
      <c r="Q99" s="195">
        <v>45480.293290000001</v>
      </c>
      <c r="R99" s="195">
        <v>45894.97729000001</v>
      </c>
      <c r="S99" s="195">
        <v>46766.129649999995</v>
      </c>
      <c r="T99" s="195">
        <v>47749.419103949025</v>
      </c>
      <c r="U99" s="195">
        <v>31733.392236050975</v>
      </c>
      <c r="V99" s="196">
        <v>32126.448668124998</v>
      </c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</row>
    <row r="100" spans="1:53" s="11" customFormat="1" hidden="1" x14ac:dyDescent="0.25">
      <c r="A100" s="203" t="s">
        <v>215</v>
      </c>
      <c r="B100" s="344"/>
      <c r="C100" s="203"/>
      <c r="D100" s="203"/>
      <c r="E100" s="203"/>
      <c r="F100" s="203"/>
      <c r="G100" s="195"/>
      <c r="H100" s="195"/>
      <c r="I100" s="195"/>
      <c r="J100" s="198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>
        <v>0</v>
      </c>
      <c r="V100" s="196">
        <v>0</v>
      </c>
      <c r="W100" s="196">
        <v>0</v>
      </c>
      <c r="X100" s="196">
        <v>0</v>
      </c>
      <c r="Y100" s="196">
        <v>0</v>
      </c>
      <c r="Z100" s="196">
        <v>0</v>
      </c>
      <c r="AA100" s="196">
        <v>0</v>
      </c>
      <c r="AB100" s="196">
        <v>0</v>
      </c>
      <c r="AC100" s="196">
        <v>0</v>
      </c>
      <c r="AD100" s="196">
        <v>0</v>
      </c>
      <c r="AE100" s="196">
        <v>0</v>
      </c>
      <c r="AF100" s="196">
        <v>0</v>
      </c>
      <c r="AG100" s="196">
        <v>0</v>
      </c>
      <c r="AH100" s="196">
        <v>0</v>
      </c>
      <c r="AI100" s="196">
        <v>0</v>
      </c>
      <c r="AJ100" s="196">
        <v>0</v>
      </c>
      <c r="AK100" s="196">
        <v>0</v>
      </c>
      <c r="AL100" s="196">
        <v>0</v>
      </c>
      <c r="AM100" s="196">
        <v>0</v>
      </c>
      <c r="AN100" s="196">
        <v>0</v>
      </c>
      <c r="AO100" s="196">
        <v>0</v>
      </c>
      <c r="AP100" s="196">
        <v>0</v>
      </c>
      <c r="AQ100" s="196">
        <v>0</v>
      </c>
      <c r="AR100" s="196">
        <v>0</v>
      </c>
      <c r="AS100" s="196">
        <v>0</v>
      </c>
      <c r="AT100" s="196">
        <v>0</v>
      </c>
      <c r="AU100" s="196">
        <v>0</v>
      </c>
      <c r="AV100" s="196">
        <v>0</v>
      </c>
      <c r="AW100" s="196">
        <v>0</v>
      </c>
      <c r="AX100" s="196">
        <v>0</v>
      </c>
      <c r="AY100" s="196">
        <v>0</v>
      </c>
      <c r="AZ100" s="196">
        <v>0</v>
      </c>
      <c r="BA100" s="196">
        <v>0</v>
      </c>
    </row>
    <row r="101" spans="1:53" s="11" customFormat="1" hidden="1" x14ac:dyDescent="0.25">
      <c r="A101" s="199" t="s">
        <v>216</v>
      </c>
      <c r="B101" s="342"/>
      <c r="C101" s="199"/>
      <c r="D101" s="199"/>
      <c r="E101" s="199"/>
      <c r="F101" s="199"/>
      <c r="G101" s="195"/>
      <c r="H101" s="195"/>
      <c r="I101" s="195"/>
      <c r="J101" s="198">
        <v>115497.21712</v>
      </c>
      <c r="K101" s="195"/>
      <c r="L101" s="195">
        <v>145476.34520999997</v>
      </c>
      <c r="M101" s="195">
        <v>142507.53848000002</v>
      </c>
      <c r="N101" s="195">
        <v>173828.20284000001</v>
      </c>
      <c r="O101" s="195">
        <v>169739.22332999998</v>
      </c>
      <c r="P101" s="195">
        <v>201945.24070999998</v>
      </c>
      <c r="Q101" s="195">
        <v>203203.67969999998</v>
      </c>
      <c r="R101" s="195">
        <v>199972.41898000002</v>
      </c>
      <c r="S101" s="195">
        <v>198838.30171999999</v>
      </c>
      <c r="T101" s="195">
        <v>198141.15257000001</v>
      </c>
      <c r="U101" s="195">
        <v>195297.62518999999</v>
      </c>
      <c r="V101" s="196">
        <v>193550.99158999999</v>
      </c>
      <c r="W101" s="196">
        <v>192175.32827858045</v>
      </c>
      <c r="X101" s="196">
        <v>189322.04233999996</v>
      </c>
      <c r="Y101" s="196">
        <v>187984.7</v>
      </c>
      <c r="Z101" s="196">
        <v>0</v>
      </c>
      <c r="AA101" s="196">
        <v>0</v>
      </c>
      <c r="AB101" s="196">
        <v>0</v>
      </c>
      <c r="AC101" s="196">
        <v>0</v>
      </c>
      <c r="AD101" s="196">
        <v>0</v>
      </c>
      <c r="AE101" s="196">
        <v>0</v>
      </c>
      <c r="AF101" s="196">
        <v>0</v>
      </c>
      <c r="AG101" s="196">
        <v>0</v>
      </c>
      <c r="AH101" s="196">
        <v>0</v>
      </c>
      <c r="AI101" s="196">
        <v>0</v>
      </c>
      <c r="AJ101" s="196">
        <v>0</v>
      </c>
      <c r="AK101" s="196">
        <v>0</v>
      </c>
      <c r="AL101" s="196">
        <v>0</v>
      </c>
      <c r="AM101" s="196">
        <v>0</v>
      </c>
      <c r="AN101" s="196">
        <v>0</v>
      </c>
      <c r="AO101" s="196">
        <v>0</v>
      </c>
      <c r="AP101" s="196">
        <v>0</v>
      </c>
      <c r="AQ101" s="196">
        <v>0</v>
      </c>
      <c r="AR101" s="196">
        <v>0</v>
      </c>
      <c r="AS101" s="196">
        <v>0</v>
      </c>
      <c r="AT101" s="196">
        <v>0</v>
      </c>
      <c r="AU101" s="196">
        <v>0</v>
      </c>
      <c r="AV101" s="196">
        <v>0</v>
      </c>
      <c r="AW101" s="196">
        <v>0</v>
      </c>
      <c r="AX101" s="196">
        <v>0</v>
      </c>
      <c r="AY101" s="196">
        <v>0</v>
      </c>
      <c r="AZ101" s="196">
        <v>0</v>
      </c>
      <c r="BA101" s="196">
        <v>0</v>
      </c>
    </row>
    <row r="102" spans="1:53" s="11" customFormat="1" hidden="1" x14ac:dyDescent="0.25">
      <c r="A102" s="199" t="s">
        <v>217</v>
      </c>
      <c r="B102" s="342"/>
      <c r="C102" s="199"/>
      <c r="D102" s="199"/>
      <c r="E102" s="199"/>
      <c r="F102" s="199"/>
      <c r="G102" s="195"/>
      <c r="H102" s="195"/>
      <c r="I102" s="195"/>
      <c r="J102" s="198">
        <v>86953.860360000006</v>
      </c>
      <c r="K102" s="195"/>
      <c r="L102" s="195">
        <v>93877.995500000005</v>
      </c>
      <c r="M102" s="195">
        <v>91962.18144</v>
      </c>
      <c r="N102" s="195">
        <v>89739.195990000007</v>
      </c>
      <c r="O102" s="195">
        <v>87628.251230000009</v>
      </c>
      <c r="P102" s="195">
        <v>86878.968890000004</v>
      </c>
      <c r="Q102" s="195">
        <v>87420.36258999999</v>
      </c>
      <c r="R102" s="195">
        <v>86030.240210000004</v>
      </c>
      <c r="S102" s="195">
        <v>85542.331050000008</v>
      </c>
      <c r="T102" s="195">
        <v>85242.410150000011</v>
      </c>
      <c r="U102" s="195">
        <v>84019.04041999999</v>
      </c>
      <c r="V102" s="196">
        <v>83267.61559999999</v>
      </c>
      <c r="W102" s="196">
        <v>82675.849689185226</v>
      </c>
      <c r="X102" s="196">
        <v>81448.336039999995</v>
      </c>
      <c r="Y102" s="196">
        <v>80873</v>
      </c>
      <c r="Z102" s="196">
        <v>0</v>
      </c>
      <c r="AA102" s="196">
        <v>0</v>
      </c>
      <c r="AB102" s="196">
        <v>0</v>
      </c>
      <c r="AC102" s="196">
        <v>0</v>
      </c>
      <c r="AD102" s="196">
        <v>0</v>
      </c>
      <c r="AE102" s="196">
        <v>0</v>
      </c>
      <c r="AF102" s="196">
        <v>0</v>
      </c>
      <c r="AG102" s="196">
        <v>0</v>
      </c>
      <c r="AH102" s="196">
        <v>0</v>
      </c>
      <c r="AI102" s="196">
        <v>0</v>
      </c>
      <c r="AJ102" s="196">
        <v>0</v>
      </c>
      <c r="AK102" s="196">
        <v>0</v>
      </c>
      <c r="AL102" s="196">
        <v>0</v>
      </c>
      <c r="AM102" s="196">
        <v>0</v>
      </c>
      <c r="AN102" s="196">
        <v>0</v>
      </c>
      <c r="AO102" s="196">
        <v>0</v>
      </c>
      <c r="AP102" s="196">
        <v>0</v>
      </c>
      <c r="AQ102" s="196">
        <v>0</v>
      </c>
      <c r="AR102" s="196">
        <v>0</v>
      </c>
      <c r="AS102" s="196">
        <v>0</v>
      </c>
      <c r="AT102" s="196">
        <v>0</v>
      </c>
      <c r="AU102" s="196">
        <v>0</v>
      </c>
      <c r="AV102" s="196">
        <v>0</v>
      </c>
      <c r="AW102" s="196">
        <v>0</v>
      </c>
      <c r="AX102" s="196">
        <v>0</v>
      </c>
      <c r="AY102" s="196">
        <v>0</v>
      </c>
      <c r="AZ102" s="196">
        <v>0</v>
      </c>
      <c r="BA102" s="196">
        <v>0</v>
      </c>
    </row>
    <row r="103" spans="1:53" s="11" customFormat="1" hidden="1" x14ac:dyDescent="0.25">
      <c r="A103" s="203" t="s">
        <v>218</v>
      </c>
      <c r="B103" s="344"/>
      <c r="C103" s="203"/>
      <c r="D103" s="203"/>
      <c r="E103" s="203"/>
      <c r="F103" s="203"/>
      <c r="G103" s="195"/>
      <c r="H103" s="195"/>
      <c r="I103" s="195"/>
      <c r="J103" s="198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>
        <v>0</v>
      </c>
      <c r="V103" s="196">
        <v>0</v>
      </c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</row>
    <row r="104" spans="1:53" s="11" customFormat="1" hidden="1" x14ac:dyDescent="0.25">
      <c r="A104" s="199" t="s">
        <v>219</v>
      </c>
      <c r="B104" s="342"/>
      <c r="C104" s="199"/>
      <c r="D104" s="199"/>
      <c r="E104" s="199"/>
      <c r="F104" s="199"/>
      <c r="G104" s="195"/>
      <c r="H104" s="195"/>
      <c r="I104" s="195"/>
      <c r="J104" s="195" t="s">
        <v>0</v>
      </c>
      <c r="K104" s="195"/>
      <c r="L104" s="195">
        <v>0</v>
      </c>
      <c r="M104" s="195">
        <v>0</v>
      </c>
      <c r="N104" s="195">
        <v>0</v>
      </c>
      <c r="O104" s="195">
        <v>0</v>
      </c>
      <c r="P104" s="195">
        <v>92600</v>
      </c>
      <c r="Q104" s="195">
        <v>92600</v>
      </c>
      <c r="R104" s="195">
        <v>92600</v>
      </c>
      <c r="S104" s="195">
        <v>92600</v>
      </c>
      <c r="T104" s="195">
        <v>92600</v>
      </c>
      <c r="U104" s="195">
        <v>92600</v>
      </c>
      <c r="V104" s="196">
        <v>92600</v>
      </c>
      <c r="W104" s="196">
        <v>92600</v>
      </c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</row>
    <row r="105" spans="1:53" s="11" customFormat="1" hidden="1" x14ac:dyDescent="0.25">
      <c r="A105" s="199" t="s">
        <v>220</v>
      </c>
      <c r="B105" s="342"/>
      <c r="C105" s="199"/>
      <c r="D105" s="199"/>
      <c r="E105" s="199"/>
      <c r="F105" s="199"/>
      <c r="G105" s="195"/>
      <c r="H105" s="195"/>
      <c r="I105" s="195"/>
      <c r="J105" s="198">
        <v>270000.13500000001</v>
      </c>
      <c r="K105" s="195"/>
      <c r="L105" s="195">
        <v>405000</v>
      </c>
      <c r="M105" s="195">
        <v>405000</v>
      </c>
      <c r="N105" s="195">
        <v>540000</v>
      </c>
      <c r="O105" s="195">
        <v>540000</v>
      </c>
      <c r="P105" s="195">
        <v>540000</v>
      </c>
      <c r="Q105" s="195">
        <v>540000</v>
      </c>
      <c r="R105" s="195">
        <v>540000</v>
      </c>
      <c r="S105" s="195">
        <v>540000</v>
      </c>
      <c r="T105" s="195">
        <v>540000</v>
      </c>
      <c r="U105" s="195">
        <v>540000</v>
      </c>
      <c r="V105" s="196">
        <v>540000</v>
      </c>
      <c r="W105" s="196">
        <v>540000</v>
      </c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</row>
    <row r="106" spans="1:53" s="11" customFormat="1" hidden="1" x14ac:dyDescent="0.25">
      <c r="A106" s="199" t="s">
        <v>221</v>
      </c>
      <c r="B106" s="342"/>
      <c r="C106" s="199"/>
      <c r="D106" s="199"/>
      <c r="E106" s="199"/>
      <c r="F106" s="199"/>
      <c r="G106" s="195"/>
      <c r="H106" s="195"/>
      <c r="I106" s="195"/>
      <c r="J106" s="198">
        <v>81081.247209999987</v>
      </c>
      <c r="K106" s="195"/>
      <c r="L106" s="195">
        <v>76595.527959999992</v>
      </c>
      <c r="M106" s="195">
        <v>75032.405649999986</v>
      </c>
      <c r="N106" s="195">
        <v>73218.660660000009</v>
      </c>
      <c r="O106" s="195">
        <v>71496.330230000007</v>
      </c>
      <c r="P106" s="195">
        <v>70884.987009999997</v>
      </c>
      <c r="Q106" s="195">
        <v>71326.712850000011</v>
      </c>
      <c r="R106" s="195">
        <v>70192.505010000008</v>
      </c>
      <c r="S106" s="195">
        <v>69794.417950000003</v>
      </c>
      <c r="T106" s="195">
        <v>69661.916249999995</v>
      </c>
      <c r="U106" s="195">
        <v>68662.220290000012</v>
      </c>
      <c r="V106" s="196">
        <v>68048.139900000009</v>
      </c>
      <c r="W106" s="196">
        <v>67562.122614979118</v>
      </c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</row>
    <row r="107" spans="1:53" s="11" customFormat="1" hidden="1" x14ac:dyDescent="0.25">
      <c r="A107" s="203" t="s">
        <v>222</v>
      </c>
      <c r="B107" s="344"/>
      <c r="C107" s="203"/>
      <c r="D107" s="203"/>
      <c r="E107" s="203"/>
      <c r="F107" s="203"/>
      <c r="G107" s="195"/>
      <c r="H107" s="195"/>
      <c r="I107" s="195"/>
      <c r="J107" s="198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</row>
    <row r="108" spans="1:53" s="11" customFormat="1" hidden="1" x14ac:dyDescent="0.25">
      <c r="A108" s="199" t="s">
        <v>219</v>
      </c>
      <c r="B108" s="342"/>
      <c r="C108" s="199"/>
      <c r="D108" s="199"/>
      <c r="E108" s="199"/>
      <c r="F108" s="199"/>
      <c r="G108" s="195"/>
      <c r="H108" s="195"/>
      <c r="I108" s="195"/>
      <c r="J108" s="198">
        <v>28363.03498</v>
      </c>
      <c r="K108" s="195"/>
      <c r="L108" s="195">
        <v>37742.010080000007</v>
      </c>
      <c r="M108" s="195">
        <v>42431.496660000004</v>
      </c>
      <c r="N108" s="195">
        <v>47120.976210000001</v>
      </c>
      <c r="O108" s="195">
        <v>51810.5</v>
      </c>
      <c r="P108" s="195">
        <v>56500</v>
      </c>
      <c r="Q108" s="195">
        <v>56500</v>
      </c>
      <c r="R108" s="195">
        <v>56500</v>
      </c>
      <c r="S108" s="195">
        <v>56500</v>
      </c>
      <c r="T108" s="195">
        <v>56500</v>
      </c>
      <c r="U108" s="195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</row>
    <row r="109" spans="1:53" s="11" customFormat="1" hidden="1" x14ac:dyDescent="0.25">
      <c r="A109" s="199" t="s">
        <v>220</v>
      </c>
      <c r="B109" s="342"/>
      <c r="C109" s="199"/>
      <c r="D109" s="199"/>
      <c r="E109" s="199"/>
      <c r="F109" s="199"/>
      <c r="G109" s="195"/>
      <c r="H109" s="195"/>
      <c r="I109" s="195"/>
      <c r="J109" s="198">
        <v>145296.32958999998</v>
      </c>
      <c r="K109" s="195"/>
      <c r="L109" s="195">
        <v>156866.27507999999</v>
      </c>
      <c r="M109" s="195">
        <v>153665.02851</v>
      </c>
      <c r="N109" s="195">
        <v>149950.51112000001</v>
      </c>
      <c r="O109" s="195">
        <v>146423.20912000001</v>
      </c>
      <c r="P109" s="195">
        <v>145171.18909</v>
      </c>
      <c r="Q109" s="195">
        <v>146075.83573999998</v>
      </c>
      <c r="R109" s="195">
        <v>143752.99832000001</v>
      </c>
      <c r="S109" s="195">
        <v>142937.72310999999</v>
      </c>
      <c r="T109" s="195">
        <v>142626.74135</v>
      </c>
      <c r="U109" s="195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</row>
    <row r="110" spans="1:53" s="11" customFormat="1" hidden="1" x14ac:dyDescent="0.25">
      <c r="A110" s="203" t="s">
        <v>223</v>
      </c>
      <c r="B110" s="344"/>
      <c r="C110" s="203"/>
      <c r="D110" s="203"/>
      <c r="E110" s="203"/>
      <c r="F110" s="203"/>
      <c r="G110" s="195"/>
      <c r="H110" s="195"/>
      <c r="I110" s="195"/>
      <c r="J110" s="198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</row>
    <row r="111" spans="1:53" s="11" customFormat="1" hidden="1" x14ac:dyDescent="0.25">
      <c r="A111" s="199" t="s">
        <v>219</v>
      </c>
      <c r="B111" s="342"/>
      <c r="C111" s="199"/>
      <c r="D111" s="199"/>
      <c r="E111" s="199"/>
      <c r="F111" s="199"/>
      <c r="G111" s="195"/>
      <c r="H111" s="195"/>
      <c r="I111" s="195"/>
      <c r="J111" s="198">
        <v>461538.5</v>
      </c>
      <c r="K111" s="195"/>
      <c r="L111" s="195">
        <v>499999.99999999994</v>
      </c>
      <c r="M111" s="195">
        <v>500000</v>
      </c>
      <c r="N111" s="195">
        <v>500000</v>
      </c>
      <c r="O111" s="195">
        <v>0</v>
      </c>
      <c r="P111" s="195"/>
      <c r="Q111" s="195"/>
      <c r="R111" s="195"/>
      <c r="S111" s="195"/>
      <c r="T111" s="195"/>
      <c r="U111" s="195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</row>
    <row r="112" spans="1:53" s="11" customFormat="1" hidden="1" x14ac:dyDescent="0.25">
      <c r="A112" s="199" t="s">
        <v>76</v>
      </c>
      <c r="B112" s="342"/>
      <c r="C112" s="199"/>
      <c r="D112" s="199"/>
      <c r="E112" s="199"/>
      <c r="F112" s="199"/>
      <c r="G112" s="195"/>
      <c r="H112" s="195"/>
      <c r="I112" s="195"/>
      <c r="J112" s="195" t="s">
        <v>0</v>
      </c>
      <c r="K112" s="195"/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/>
      <c r="S112" s="195">
        <v>0</v>
      </c>
      <c r="T112" s="195">
        <v>0</v>
      </c>
      <c r="U112" s="195">
        <v>0</v>
      </c>
      <c r="V112" s="196">
        <v>0</v>
      </c>
      <c r="W112" s="196">
        <v>2083.16437</v>
      </c>
      <c r="X112" s="196">
        <v>2457.9224199999999</v>
      </c>
      <c r="Y112" s="196">
        <v>2835.4</v>
      </c>
      <c r="Z112" s="196">
        <v>2908</v>
      </c>
      <c r="AA112" s="196">
        <v>1805</v>
      </c>
      <c r="AB112" s="196">
        <v>1568</v>
      </c>
      <c r="AC112" s="196">
        <v>1451</v>
      </c>
      <c r="AD112" s="196">
        <v>749</v>
      </c>
      <c r="AE112" s="196">
        <v>0</v>
      </c>
      <c r="AF112" s="196">
        <v>0</v>
      </c>
      <c r="AG112" s="196">
        <v>0</v>
      </c>
      <c r="AH112" s="196">
        <v>0</v>
      </c>
      <c r="AI112" s="196">
        <v>0</v>
      </c>
      <c r="AJ112" s="196">
        <v>0</v>
      </c>
      <c r="AK112" s="196">
        <v>0</v>
      </c>
      <c r="AL112" s="196">
        <v>0</v>
      </c>
      <c r="AM112" s="196">
        <v>0</v>
      </c>
      <c r="AN112" s="196">
        <v>0</v>
      </c>
      <c r="AO112" s="196">
        <v>0</v>
      </c>
      <c r="AP112" s="196">
        <v>0</v>
      </c>
      <c r="AQ112" s="196">
        <v>0</v>
      </c>
      <c r="AR112" s="196">
        <v>0</v>
      </c>
      <c r="AS112" s="196">
        <v>0</v>
      </c>
      <c r="AT112" s="196">
        <v>0</v>
      </c>
      <c r="AU112" s="196">
        <v>0</v>
      </c>
      <c r="AV112" s="196">
        <v>0</v>
      </c>
      <c r="AW112" s="196">
        <v>0</v>
      </c>
      <c r="AX112" s="196">
        <v>0</v>
      </c>
      <c r="AY112" s="196">
        <v>0</v>
      </c>
      <c r="AZ112" s="196">
        <v>0</v>
      </c>
      <c r="BA112" s="196">
        <v>0</v>
      </c>
    </row>
    <row r="113" spans="1:53" s="11" customFormat="1" hidden="1" x14ac:dyDescent="0.25">
      <c r="A113" s="197" t="s">
        <v>224</v>
      </c>
      <c r="B113" s="341"/>
      <c r="C113" s="197"/>
      <c r="D113" s="197"/>
      <c r="E113" s="197"/>
      <c r="F113" s="197"/>
      <c r="G113" s="195"/>
      <c r="H113" s="195"/>
      <c r="I113" s="195"/>
      <c r="J113" s="198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</row>
    <row r="114" spans="1:53" s="11" customFormat="1" hidden="1" x14ac:dyDescent="0.25">
      <c r="A114" s="199" t="s">
        <v>219</v>
      </c>
      <c r="B114" s="342"/>
      <c r="C114" s="199"/>
      <c r="D114" s="199"/>
      <c r="E114" s="199"/>
      <c r="F114" s="199"/>
      <c r="G114" s="195"/>
      <c r="H114" s="195"/>
      <c r="I114" s="195"/>
      <c r="J114" s="198">
        <v>250709.74648</v>
      </c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</row>
    <row r="115" spans="1:53" s="11" customFormat="1" hidden="1" x14ac:dyDescent="0.25">
      <c r="A115" s="199" t="s">
        <v>220</v>
      </c>
      <c r="B115" s="342"/>
      <c r="C115" s="199"/>
      <c r="D115" s="199"/>
      <c r="E115" s="199"/>
      <c r="F115" s="199"/>
      <c r="G115" s="195"/>
      <c r="H115" s="195"/>
      <c r="I115" s="195"/>
      <c r="J115" s="198">
        <v>506193</v>
      </c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</row>
    <row r="116" spans="1:53" s="11" customFormat="1" hidden="1" x14ac:dyDescent="0.25">
      <c r="A116" s="203" t="s">
        <v>235</v>
      </c>
      <c r="B116" s="344"/>
      <c r="C116" s="203"/>
      <c r="D116" s="203"/>
      <c r="E116" s="203"/>
      <c r="F116" s="203"/>
      <c r="G116" s="195"/>
      <c r="H116" s="195"/>
      <c r="I116" s="195"/>
      <c r="J116" s="198"/>
      <c r="K116" s="195"/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/>
      <c r="T116" s="195"/>
      <c r="U116" s="195">
        <v>0</v>
      </c>
      <c r="V116" s="196">
        <v>0</v>
      </c>
      <c r="W116" s="196">
        <v>0</v>
      </c>
      <c r="X116" s="196">
        <v>0</v>
      </c>
      <c r="Y116" s="196">
        <v>0</v>
      </c>
      <c r="Z116" s="196">
        <v>0</v>
      </c>
      <c r="AA116" s="196">
        <v>0</v>
      </c>
      <c r="AB116" s="196">
        <v>0</v>
      </c>
      <c r="AC116" s="196">
        <v>0</v>
      </c>
      <c r="AD116" s="196">
        <v>0</v>
      </c>
      <c r="AE116" s="196">
        <v>0</v>
      </c>
      <c r="AF116" s="196">
        <v>0</v>
      </c>
      <c r="AG116" s="196">
        <v>0</v>
      </c>
      <c r="AH116" s="196">
        <v>0</v>
      </c>
      <c r="AI116" s="196">
        <v>0</v>
      </c>
      <c r="AJ116" s="196">
        <v>0</v>
      </c>
      <c r="AK116" s="196">
        <v>0</v>
      </c>
      <c r="AL116" s="196">
        <v>0</v>
      </c>
      <c r="AM116" s="196">
        <v>0</v>
      </c>
      <c r="AN116" s="196">
        <v>0</v>
      </c>
      <c r="AO116" s="196">
        <v>0</v>
      </c>
      <c r="AP116" s="196">
        <v>0</v>
      </c>
      <c r="AQ116" s="196">
        <v>0</v>
      </c>
      <c r="AR116" s="196">
        <v>0</v>
      </c>
      <c r="AS116" s="196">
        <v>0</v>
      </c>
      <c r="AT116" s="196">
        <v>0</v>
      </c>
      <c r="AU116" s="196">
        <v>0</v>
      </c>
      <c r="AV116" s="196">
        <v>0</v>
      </c>
      <c r="AW116" s="196">
        <v>0</v>
      </c>
      <c r="AX116" s="196">
        <v>0</v>
      </c>
      <c r="AY116" s="196">
        <v>0</v>
      </c>
      <c r="AZ116" s="196">
        <v>0</v>
      </c>
      <c r="BA116" s="196">
        <v>0</v>
      </c>
    </row>
    <row r="117" spans="1:53" s="11" customFormat="1" hidden="1" x14ac:dyDescent="0.25">
      <c r="A117" s="199" t="s">
        <v>236</v>
      </c>
      <c r="B117" s="342"/>
      <c r="C117" s="199"/>
      <c r="D117" s="199"/>
      <c r="E117" s="199"/>
      <c r="F117" s="199"/>
      <c r="G117" s="195"/>
      <c r="H117" s="195"/>
      <c r="I117" s="195"/>
      <c r="J117" s="195" t="s">
        <v>0</v>
      </c>
      <c r="K117" s="195"/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6">
        <v>0</v>
      </c>
      <c r="W117" s="196">
        <v>0</v>
      </c>
      <c r="X117" s="196">
        <v>0</v>
      </c>
      <c r="Y117" s="196">
        <v>0</v>
      </c>
      <c r="Z117" s="196">
        <v>0</v>
      </c>
      <c r="AA117" s="196">
        <v>0</v>
      </c>
      <c r="AB117" s="196">
        <v>0</v>
      </c>
      <c r="AC117" s="196">
        <v>0</v>
      </c>
      <c r="AD117" s="196">
        <v>0</v>
      </c>
      <c r="AE117" s="196">
        <v>0</v>
      </c>
      <c r="AF117" s="196">
        <v>0</v>
      </c>
      <c r="AG117" s="196">
        <v>0</v>
      </c>
      <c r="AH117" s="196">
        <v>0</v>
      </c>
      <c r="AI117" s="196">
        <v>0</v>
      </c>
      <c r="AJ117" s="196">
        <v>0</v>
      </c>
      <c r="AK117" s="196">
        <v>0</v>
      </c>
      <c r="AL117" s="196">
        <v>0</v>
      </c>
      <c r="AM117" s="196">
        <v>0</v>
      </c>
      <c r="AN117" s="196">
        <v>0</v>
      </c>
      <c r="AO117" s="196">
        <v>0</v>
      </c>
      <c r="AP117" s="196">
        <v>0</v>
      </c>
      <c r="AQ117" s="196">
        <v>0</v>
      </c>
      <c r="AR117" s="196">
        <v>0</v>
      </c>
      <c r="AS117" s="196">
        <v>0</v>
      </c>
      <c r="AT117" s="196">
        <v>0</v>
      </c>
      <c r="AU117" s="196">
        <v>0</v>
      </c>
      <c r="AV117" s="196">
        <v>0</v>
      </c>
      <c r="AW117" s="196">
        <v>0</v>
      </c>
      <c r="AX117" s="196">
        <v>0</v>
      </c>
      <c r="AY117" s="196">
        <v>0</v>
      </c>
      <c r="AZ117" s="196">
        <v>6101</v>
      </c>
      <c r="BA117" s="196">
        <v>11935</v>
      </c>
    </row>
    <row r="118" spans="1:53" s="11" customFormat="1" hidden="1" x14ac:dyDescent="0.25">
      <c r="A118" s="203" t="s">
        <v>225</v>
      </c>
      <c r="B118" s="344"/>
      <c r="C118" s="203"/>
      <c r="D118" s="203"/>
      <c r="E118" s="203"/>
      <c r="F118" s="203"/>
      <c r="G118" s="195"/>
      <c r="H118" s="195"/>
      <c r="I118" s="195"/>
      <c r="J118" s="195" t="s">
        <v>0</v>
      </c>
      <c r="K118" s="195"/>
      <c r="L118" s="195">
        <v>0</v>
      </c>
      <c r="M118" s="195">
        <v>0</v>
      </c>
      <c r="N118" s="195">
        <v>0</v>
      </c>
      <c r="O118" s="195">
        <v>828.14013</v>
      </c>
      <c r="P118" s="195">
        <v>2060.2612300000001</v>
      </c>
      <c r="Q118" s="195">
        <v>3292.4787900000001</v>
      </c>
      <c r="R118" s="195">
        <v>4440.1329000000005</v>
      </c>
      <c r="S118" s="195">
        <v>10875.82943</v>
      </c>
      <c r="T118" s="195">
        <v>17199.14487</v>
      </c>
      <c r="U118" s="195">
        <v>23090.91865</v>
      </c>
      <c r="V118" s="196">
        <v>28965.0105</v>
      </c>
      <c r="W118" s="196">
        <v>34763.371849999996</v>
      </c>
      <c r="X118" s="196">
        <v>39924.099579999995</v>
      </c>
      <c r="Y118" s="196">
        <v>45344.2</v>
      </c>
      <c r="Z118" s="196">
        <v>50613</v>
      </c>
      <c r="AA118" s="196">
        <v>55855</v>
      </c>
      <c r="AB118" s="196">
        <v>61311</v>
      </c>
      <c r="AC118" s="196">
        <v>66187</v>
      </c>
      <c r="AD118" s="196">
        <v>70908</v>
      </c>
      <c r="AE118" s="196">
        <v>75782</v>
      </c>
      <c r="AF118" s="196">
        <v>79600</v>
      </c>
      <c r="AG118" s="196">
        <v>82836</v>
      </c>
      <c r="AH118" s="196">
        <v>84719</v>
      </c>
      <c r="AI118" s="196">
        <v>87378</v>
      </c>
      <c r="AJ118" s="196">
        <v>90200</v>
      </c>
      <c r="AK118" s="196">
        <v>91501</v>
      </c>
      <c r="AL118" s="196">
        <v>92713</v>
      </c>
      <c r="AM118" s="196">
        <v>95404</v>
      </c>
      <c r="AN118" s="196">
        <v>98601</v>
      </c>
      <c r="AO118" s="196">
        <v>100161</v>
      </c>
      <c r="AP118" s="196">
        <v>101817</v>
      </c>
      <c r="AQ118" s="196">
        <v>103983</v>
      </c>
      <c r="AR118" s="196">
        <v>107073</v>
      </c>
      <c r="AS118" s="196">
        <v>109096</v>
      </c>
      <c r="AT118" s="196">
        <v>109685</v>
      </c>
      <c r="AU118" s="196">
        <v>110837</v>
      </c>
      <c r="AV118" s="196">
        <v>112653</v>
      </c>
      <c r="AW118" s="196">
        <v>114188</v>
      </c>
      <c r="AX118" s="196">
        <v>115492</v>
      </c>
      <c r="AY118" s="196">
        <v>120045</v>
      </c>
      <c r="AZ118" s="196">
        <v>122147</v>
      </c>
      <c r="BA118" s="196">
        <v>122809</v>
      </c>
    </row>
    <row r="119" spans="1:53" s="11" customFormat="1" hidden="1" x14ac:dyDescent="0.25">
      <c r="A119" s="203"/>
      <c r="B119" s="344"/>
      <c r="C119" s="203"/>
      <c r="D119" s="203"/>
      <c r="E119" s="203"/>
      <c r="F119" s="203"/>
      <c r="G119" s="195"/>
      <c r="H119" s="195"/>
      <c r="I119" s="195"/>
      <c r="J119" s="198"/>
      <c r="K119" s="203"/>
      <c r="L119" s="203"/>
      <c r="M119" s="203"/>
      <c r="N119" s="203"/>
      <c r="O119" s="203"/>
      <c r="P119" s="203"/>
      <c r="Q119" s="203"/>
      <c r="R119" s="195"/>
      <c r="S119" s="195"/>
      <c r="T119" s="195"/>
      <c r="U119" s="195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</row>
    <row r="120" spans="1:53" s="13" customFormat="1" hidden="1" x14ac:dyDescent="0.25">
      <c r="A120" s="164" t="s">
        <v>237</v>
      </c>
      <c r="B120" s="165"/>
      <c r="C120" s="164"/>
      <c r="D120" s="164"/>
      <c r="E120" s="164"/>
      <c r="F120" s="164"/>
      <c r="G120" s="165"/>
      <c r="H120" s="165"/>
      <c r="I120" s="165"/>
      <c r="J120" s="164">
        <v>3033361.0210899999</v>
      </c>
      <c r="K120" s="165"/>
      <c r="L120" s="165">
        <v>2622809.6943019414</v>
      </c>
      <c r="M120" s="165">
        <v>2703489.80999</v>
      </c>
      <c r="N120" s="165">
        <v>2921646.5178999999</v>
      </c>
      <c r="O120" s="165">
        <v>2439052.7943900004</v>
      </c>
      <c r="P120" s="165">
        <v>2664383.2520999997</v>
      </c>
      <c r="Q120" s="165">
        <v>2645567.3809000002</v>
      </c>
      <c r="R120" s="165">
        <v>2683235.4638199997</v>
      </c>
      <c r="S120" s="165">
        <v>2719087.0386399999</v>
      </c>
      <c r="T120" s="165">
        <v>2807789.0346639487</v>
      </c>
      <c r="U120" s="165">
        <v>2623561.62703605</v>
      </c>
      <c r="V120" s="192">
        <v>2668448.683548125</v>
      </c>
      <c r="W120" s="192">
        <v>2614081.790251676</v>
      </c>
      <c r="X120" s="192">
        <v>2204864.7757967995</v>
      </c>
      <c r="Y120" s="192">
        <v>2440815.0000000005</v>
      </c>
      <c r="Z120" s="192">
        <v>2314235</v>
      </c>
      <c r="AA120" s="192">
        <v>2378311</v>
      </c>
      <c r="AB120" s="192">
        <v>2492470</v>
      </c>
      <c r="AC120" s="192">
        <v>2583212</v>
      </c>
      <c r="AD120" s="192">
        <v>2715159</v>
      </c>
      <c r="AE120" s="192">
        <v>2774557</v>
      </c>
      <c r="AF120" s="192">
        <v>2719064</v>
      </c>
      <c r="AG120" s="192">
        <v>2770495</v>
      </c>
      <c r="AH120" s="192">
        <v>2822764</v>
      </c>
      <c r="AI120" s="192">
        <v>2792006</v>
      </c>
      <c r="AJ120" s="192">
        <v>2538222</v>
      </c>
      <c r="AK120" s="192">
        <v>2582020</v>
      </c>
      <c r="AL120" s="192">
        <v>2657837</v>
      </c>
      <c r="AM120" s="192">
        <v>2634685</v>
      </c>
      <c r="AN120" s="192">
        <v>2708147</v>
      </c>
      <c r="AO120" s="192">
        <v>2564027</v>
      </c>
      <c r="AP120" s="192">
        <v>2661234</v>
      </c>
      <c r="AQ120" s="192">
        <v>2545771</v>
      </c>
      <c r="AR120" s="192">
        <v>2641295</v>
      </c>
      <c r="AS120" s="192">
        <v>2632027</v>
      </c>
      <c r="AT120" s="192">
        <v>2747330</v>
      </c>
      <c r="AU120" s="192">
        <v>2718009</v>
      </c>
      <c r="AV120" s="192">
        <v>2593592</v>
      </c>
      <c r="AW120" s="192">
        <v>2710221</v>
      </c>
      <c r="AX120" s="192">
        <v>2323976</v>
      </c>
      <c r="AY120" s="192">
        <v>1985069</v>
      </c>
      <c r="AZ120" s="192">
        <v>1990251</v>
      </c>
      <c r="BA120" s="192">
        <v>1969590.7560000001</v>
      </c>
    </row>
    <row r="121" spans="1:53" s="11" customFormat="1" hidden="1" x14ac:dyDescent="0.25">
      <c r="A121" s="193"/>
      <c r="B121" s="340"/>
      <c r="C121" s="193"/>
      <c r="D121" s="193"/>
      <c r="E121" s="193"/>
      <c r="F121" s="193"/>
      <c r="G121" s="195"/>
      <c r="H121" s="195"/>
      <c r="I121" s="195"/>
      <c r="J121" s="198"/>
      <c r="K121" s="193"/>
      <c r="L121" s="193"/>
      <c r="M121" s="193"/>
      <c r="N121" s="193"/>
      <c r="O121" s="193"/>
      <c r="P121" s="193"/>
      <c r="Q121" s="193"/>
      <c r="R121" s="195"/>
      <c r="S121" s="195"/>
      <c r="T121" s="195"/>
      <c r="U121" s="195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</row>
    <row r="122" spans="1:53" s="13" customFormat="1" hidden="1" x14ac:dyDescent="0.25">
      <c r="A122" s="164" t="s">
        <v>238</v>
      </c>
      <c r="B122" s="165"/>
      <c r="C122" s="164"/>
      <c r="D122" s="164"/>
      <c r="E122" s="164"/>
      <c r="F122" s="164"/>
      <c r="G122" s="165"/>
      <c r="H122" s="165"/>
      <c r="I122" s="165"/>
      <c r="J122" s="164">
        <v>167019.02614</v>
      </c>
      <c r="K122" s="165"/>
      <c r="L122" s="165">
        <v>158077.23692</v>
      </c>
      <c r="M122" s="165">
        <v>148711.89606999999</v>
      </c>
      <c r="N122" s="165">
        <v>272007.85161000001</v>
      </c>
      <c r="O122" s="165">
        <v>325445.71944999998</v>
      </c>
      <c r="P122" s="165">
        <v>307517.56102999998</v>
      </c>
      <c r="Q122" s="165">
        <v>321416.35523999995</v>
      </c>
      <c r="R122" s="165">
        <v>252066.09009000001</v>
      </c>
      <c r="S122" s="165">
        <v>280922.84805999999</v>
      </c>
      <c r="T122" s="165">
        <v>265532.48645999999</v>
      </c>
      <c r="U122" s="165">
        <v>292217.91301999998</v>
      </c>
      <c r="V122" s="192">
        <v>294165.86079000001</v>
      </c>
      <c r="W122" s="192">
        <v>333540.31741999998</v>
      </c>
      <c r="X122" s="192">
        <v>321838.15581999999</v>
      </c>
      <c r="Y122" s="192">
        <v>280244.30000000005</v>
      </c>
      <c r="Z122" s="192">
        <v>274185.65918999998</v>
      </c>
      <c r="AA122" s="192">
        <v>276528.80497</v>
      </c>
      <c r="AB122" s="192">
        <v>271237.94493</v>
      </c>
      <c r="AC122" s="192">
        <v>267237.29219999997</v>
      </c>
      <c r="AD122" s="192">
        <v>274274.36261000001</v>
      </c>
      <c r="AE122" s="192">
        <v>305153.88968999998</v>
      </c>
      <c r="AF122" s="192">
        <v>294946.03313999996</v>
      </c>
      <c r="AG122" s="192">
        <v>342176.97777</v>
      </c>
      <c r="AH122" s="192">
        <v>362457.58004999999</v>
      </c>
      <c r="AI122" s="192">
        <v>394183.05413</v>
      </c>
      <c r="AJ122" s="192">
        <v>301542.61090000003</v>
      </c>
      <c r="AK122" s="192">
        <v>314147.00169480487</v>
      </c>
      <c r="AL122" s="192">
        <v>261773</v>
      </c>
      <c r="AM122" s="192">
        <v>192497</v>
      </c>
      <c r="AN122" s="192">
        <v>172686.58000000002</v>
      </c>
      <c r="AO122" s="192">
        <v>168655</v>
      </c>
      <c r="AP122" s="192">
        <v>125324</v>
      </c>
      <c r="AQ122" s="192">
        <v>108811</v>
      </c>
      <c r="AR122" s="192">
        <v>90692</v>
      </c>
      <c r="AS122" s="192">
        <v>76567</v>
      </c>
      <c r="AT122" s="192">
        <v>58728</v>
      </c>
      <c r="AU122" s="192">
        <v>56626</v>
      </c>
      <c r="AV122" s="192">
        <v>53820</v>
      </c>
      <c r="AW122" s="192">
        <v>49281</v>
      </c>
      <c r="AX122" s="192">
        <v>51031</v>
      </c>
      <c r="AY122" s="192">
        <v>51593</v>
      </c>
      <c r="AZ122" s="192">
        <v>43870</v>
      </c>
      <c r="BA122" s="192">
        <v>47656</v>
      </c>
    </row>
    <row r="123" spans="1:53" s="11" customFormat="1" hidden="1" x14ac:dyDescent="0.25">
      <c r="A123" s="193"/>
      <c r="B123" s="340"/>
      <c r="C123" s="193"/>
      <c r="D123" s="193"/>
      <c r="E123" s="193"/>
      <c r="F123" s="193"/>
      <c r="G123" s="195"/>
      <c r="H123" s="195"/>
      <c r="I123" s="195"/>
      <c r="J123" s="198"/>
      <c r="K123" s="193"/>
      <c r="L123" s="193"/>
      <c r="M123" s="193"/>
      <c r="N123" s="193"/>
      <c r="O123" s="193"/>
      <c r="P123" s="193"/>
      <c r="Q123" s="193"/>
      <c r="R123" s="195"/>
      <c r="S123" s="195"/>
      <c r="T123" s="195"/>
      <c r="U123" s="195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</row>
    <row r="124" spans="1:53" s="11" customFormat="1" hidden="1" x14ac:dyDescent="0.25">
      <c r="A124" s="203" t="s">
        <v>228</v>
      </c>
      <c r="B124" s="344"/>
      <c r="C124" s="203"/>
      <c r="D124" s="203"/>
      <c r="E124" s="203"/>
      <c r="F124" s="203"/>
      <c r="G124" s="195"/>
      <c r="H124" s="195"/>
      <c r="I124" s="195"/>
      <c r="J124" s="195" t="s">
        <v>0</v>
      </c>
      <c r="K124" s="195"/>
      <c r="L124" s="195">
        <v>0</v>
      </c>
      <c r="M124" s="195">
        <v>0</v>
      </c>
      <c r="N124" s="195">
        <v>130265.40195999999</v>
      </c>
      <c r="O124" s="195">
        <v>141731.02338</v>
      </c>
      <c r="P124" s="195">
        <v>136562.21896999999</v>
      </c>
      <c r="Q124" s="195">
        <v>130521.08481999999</v>
      </c>
      <c r="R124" s="195">
        <v>101037.34209000001</v>
      </c>
      <c r="S124" s="195">
        <v>104255.93806</v>
      </c>
      <c r="T124" s="195">
        <v>96013.925989999989</v>
      </c>
      <c r="U124" s="195">
        <v>97713.464980000004</v>
      </c>
      <c r="V124" s="196">
        <v>96861.18879</v>
      </c>
      <c r="W124" s="196">
        <v>100796.69941999999</v>
      </c>
      <c r="X124" s="196">
        <v>96655.639819999997</v>
      </c>
      <c r="Y124" s="196">
        <v>83342.600000000006</v>
      </c>
      <c r="Z124" s="196">
        <v>82921.459719999999</v>
      </c>
      <c r="AA124" s="196">
        <v>79537.42190999999</v>
      </c>
      <c r="AB124" s="196">
        <v>82776.071430000011</v>
      </c>
      <c r="AC124" s="196">
        <v>79319.339469999992</v>
      </c>
      <c r="AD124" s="196">
        <v>81695.686029999997</v>
      </c>
      <c r="AE124" s="196">
        <v>81201.867169999998</v>
      </c>
      <c r="AF124" s="196">
        <v>80858.45</v>
      </c>
      <c r="AG124" s="196">
        <v>89832.416920000003</v>
      </c>
      <c r="AH124" s="196">
        <v>97881.413520000002</v>
      </c>
      <c r="AI124" s="196">
        <v>99831.621969999993</v>
      </c>
      <c r="AJ124" s="196">
        <v>77544.599650000004</v>
      </c>
      <c r="AK124" s="196">
        <v>80908.583900000012</v>
      </c>
      <c r="AL124" s="196">
        <v>66583</v>
      </c>
      <c r="AM124" s="196">
        <v>61507</v>
      </c>
      <c r="AN124" s="196">
        <v>55137.26</v>
      </c>
      <c r="AO124" s="196">
        <v>57012</v>
      </c>
      <c r="AP124" s="196">
        <v>59654</v>
      </c>
      <c r="AQ124" s="196">
        <v>56142</v>
      </c>
      <c r="AR124" s="196">
        <v>55694</v>
      </c>
      <c r="AS124" s="196">
        <v>51615</v>
      </c>
      <c r="AT124" s="196">
        <v>52507</v>
      </c>
      <c r="AU124" s="196">
        <v>53441</v>
      </c>
      <c r="AV124" s="196">
        <v>53820</v>
      </c>
      <c r="AW124" s="196">
        <v>49281</v>
      </c>
      <c r="AX124" s="196">
        <v>51031</v>
      </c>
      <c r="AY124" s="196">
        <v>51593</v>
      </c>
      <c r="AZ124" s="196">
        <v>43870</v>
      </c>
      <c r="BA124" s="196">
        <v>47656</v>
      </c>
    </row>
    <row r="125" spans="1:53" s="11" customFormat="1" hidden="1" x14ac:dyDescent="0.25">
      <c r="A125" s="203" t="s">
        <v>229</v>
      </c>
      <c r="B125" s="344"/>
      <c r="C125" s="203"/>
      <c r="D125" s="203"/>
      <c r="E125" s="203"/>
      <c r="F125" s="203"/>
      <c r="G125" s="195"/>
      <c r="H125" s="195"/>
      <c r="I125" s="195"/>
      <c r="J125" s="198">
        <v>103809.02608</v>
      </c>
      <c r="K125" s="195"/>
      <c r="L125" s="195">
        <v>98801.236860000005</v>
      </c>
      <c r="M125" s="195">
        <v>148711.89606999999</v>
      </c>
      <c r="N125" s="195">
        <v>141742.44965</v>
      </c>
      <c r="O125" s="195">
        <v>183714.69607000001</v>
      </c>
      <c r="P125" s="195">
        <v>170955.34206</v>
      </c>
      <c r="Q125" s="195">
        <v>190895.27041999999</v>
      </c>
      <c r="R125" s="195">
        <v>151028.74799999999</v>
      </c>
      <c r="S125" s="195">
        <v>176666.91</v>
      </c>
      <c r="T125" s="195">
        <v>169518.56047</v>
      </c>
      <c r="U125" s="195">
        <v>194504.44803999999</v>
      </c>
      <c r="V125" s="196">
        <v>197304.67199999999</v>
      </c>
      <c r="W125" s="196">
        <v>232743.61799999999</v>
      </c>
      <c r="X125" s="196">
        <v>225182.516</v>
      </c>
      <c r="Y125" s="196">
        <v>196901.7</v>
      </c>
      <c r="Z125" s="196">
        <v>191264.19946999999</v>
      </c>
      <c r="AA125" s="196">
        <v>196991.38305999999</v>
      </c>
      <c r="AB125" s="196">
        <v>188461.87349999999</v>
      </c>
      <c r="AC125" s="196">
        <v>187917.95272999999</v>
      </c>
      <c r="AD125" s="196">
        <v>192578.67658</v>
      </c>
      <c r="AE125" s="196">
        <v>223952.02252</v>
      </c>
      <c r="AF125" s="196">
        <v>214087.58313999997</v>
      </c>
      <c r="AG125" s="196">
        <v>252344.56084999998</v>
      </c>
      <c r="AH125" s="196">
        <v>264576.16652999999</v>
      </c>
      <c r="AI125" s="196">
        <v>294351.43216000003</v>
      </c>
      <c r="AJ125" s="196">
        <v>223998.01125000001</v>
      </c>
      <c r="AK125" s="196">
        <v>233238.41779480487</v>
      </c>
      <c r="AL125" s="196">
        <v>195190</v>
      </c>
      <c r="AM125" s="196">
        <v>130990</v>
      </c>
      <c r="AN125" s="196">
        <v>117549.32</v>
      </c>
      <c r="AO125" s="196">
        <v>111643</v>
      </c>
      <c r="AP125" s="196">
        <v>65670</v>
      </c>
      <c r="AQ125" s="196">
        <v>52669</v>
      </c>
      <c r="AR125" s="196">
        <v>34998</v>
      </c>
      <c r="AS125" s="196">
        <v>24952</v>
      </c>
      <c r="AT125" s="196">
        <v>6221</v>
      </c>
      <c r="AU125" s="196">
        <v>3185</v>
      </c>
      <c r="AV125" s="196">
        <v>0</v>
      </c>
      <c r="AW125" s="196">
        <v>0</v>
      </c>
      <c r="AX125" s="196">
        <v>0</v>
      </c>
      <c r="AY125" s="196">
        <v>0</v>
      </c>
      <c r="AZ125" s="196">
        <v>0</v>
      </c>
      <c r="BA125" s="196">
        <v>0</v>
      </c>
    </row>
    <row r="126" spans="1:53" s="11" customFormat="1" hidden="1" x14ac:dyDescent="0.25">
      <c r="A126" s="203" t="s">
        <v>239</v>
      </c>
      <c r="B126" s="344"/>
      <c r="C126" s="203"/>
      <c r="D126" s="203"/>
      <c r="E126" s="203"/>
      <c r="F126" s="203"/>
      <c r="G126" s="195"/>
      <c r="H126" s="195"/>
      <c r="I126" s="195"/>
      <c r="J126" s="198">
        <v>63210.000060000006</v>
      </c>
      <c r="K126" s="195"/>
      <c r="L126" s="195">
        <v>59276.000060000006</v>
      </c>
      <c r="M126" s="195">
        <v>0</v>
      </c>
      <c r="N126" s="195">
        <v>0</v>
      </c>
      <c r="O126" s="195">
        <v>0</v>
      </c>
      <c r="P126" s="195">
        <v>0</v>
      </c>
      <c r="Q126" s="195">
        <v>0</v>
      </c>
      <c r="R126" s="195">
        <v>0</v>
      </c>
      <c r="S126" s="195"/>
      <c r="T126" s="195"/>
      <c r="U126" s="195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</row>
    <row r="127" spans="1:53" s="11" customFormat="1" hidden="1" x14ac:dyDescent="0.25">
      <c r="A127" s="203"/>
      <c r="B127" s="344"/>
      <c r="C127" s="203"/>
      <c r="D127" s="203"/>
      <c r="E127" s="203"/>
      <c r="F127" s="203"/>
      <c r="G127" s="195"/>
      <c r="H127" s="195"/>
      <c r="I127" s="195"/>
      <c r="J127" s="198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</row>
    <row r="128" spans="1:53" s="13" customFormat="1" hidden="1" x14ac:dyDescent="0.25">
      <c r="A128" s="191" t="s">
        <v>240</v>
      </c>
      <c r="B128" s="165"/>
      <c r="C128" s="191"/>
      <c r="D128" s="191"/>
      <c r="E128" s="191"/>
      <c r="F128" s="191"/>
      <c r="G128" s="165"/>
      <c r="H128" s="165"/>
      <c r="I128" s="165"/>
      <c r="J128" s="164">
        <v>3200380.0472300001</v>
      </c>
      <c r="K128" s="165"/>
      <c r="L128" s="165">
        <v>2780886.9312219415</v>
      </c>
      <c r="M128" s="165">
        <v>2852201.7060599998</v>
      </c>
      <c r="N128" s="165">
        <v>3193654.3695099996</v>
      </c>
      <c r="O128" s="165">
        <v>2764498.5138400001</v>
      </c>
      <c r="P128" s="165">
        <v>2971900.8131299997</v>
      </c>
      <c r="Q128" s="165">
        <v>2966983.7361400002</v>
      </c>
      <c r="R128" s="165">
        <v>2935301.5539099998</v>
      </c>
      <c r="S128" s="165">
        <v>3000009.8866999997</v>
      </c>
      <c r="T128" s="165">
        <v>3073321.5211239485</v>
      </c>
      <c r="U128" s="165">
        <v>2915779.5400560498</v>
      </c>
      <c r="V128" s="192">
        <v>2962614.5443381248</v>
      </c>
      <c r="W128" s="192">
        <v>2947622.1076716762</v>
      </c>
      <c r="X128" s="192">
        <v>2526702.9316167994</v>
      </c>
      <c r="Y128" s="192">
        <v>2721059.3000000007</v>
      </c>
      <c r="Z128" s="192">
        <v>2588420.65919</v>
      </c>
      <c r="AA128" s="192">
        <v>2654839.8049699999</v>
      </c>
      <c r="AB128" s="192">
        <v>2763707.9449300002</v>
      </c>
      <c r="AC128" s="192">
        <v>2850449.2922</v>
      </c>
      <c r="AD128" s="192">
        <v>2989433.3626100002</v>
      </c>
      <c r="AE128" s="192">
        <v>3079710.8896900001</v>
      </c>
      <c r="AF128" s="192">
        <v>3014010.03314</v>
      </c>
      <c r="AG128" s="192">
        <v>3112671.9777699998</v>
      </c>
      <c r="AH128" s="192">
        <v>3185221.58005</v>
      </c>
      <c r="AI128" s="192">
        <v>3186189.0541300001</v>
      </c>
      <c r="AJ128" s="192">
        <v>2839764.6109000002</v>
      </c>
      <c r="AK128" s="192">
        <v>2896167.001694805</v>
      </c>
      <c r="AL128" s="192">
        <v>2919610</v>
      </c>
      <c r="AM128" s="192">
        <v>2827182</v>
      </c>
      <c r="AN128" s="192">
        <v>2880833.58</v>
      </c>
      <c r="AO128" s="192">
        <v>2732682</v>
      </c>
      <c r="AP128" s="192">
        <v>2786558</v>
      </c>
      <c r="AQ128" s="192">
        <v>2654582</v>
      </c>
      <c r="AR128" s="192">
        <v>2731987</v>
      </c>
      <c r="AS128" s="192">
        <v>2708594</v>
      </c>
      <c r="AT128" s="192">
        <v>2806058</v>
      </c>
      <c r="AU128" s="192">
        <v>2774635</v>
      </c>
      <c r="AV128" s="192">
        <v>2647412</v>
      </c>
      <c r="AW128" s="192">
        <v>2759502</v>
      </c>
      <c r="AX128" s="192">
        <v>2375007</v>
      </c>
      <c r="AY128" s="192">
        <v>2036662</v>
      </c>
      <c r="AZ128" s="192">
        <v>2034121</v>
      </c>
      <c r="BA128" s="192">
        <v>2017246.7560000001</v>
      </c>
    </row>
    <row r="129" spans="1:53" s="11" customFormat="1" hidden="1" x14ac:dyDescent="0.25">
      <c r="A129" s="193"/>
      <c r="B129" s="340"/>
      <c r="C129" s="193"/>
      <c r="D129" s="193"/>
      <c r="E129" s="193"/>
      <c r="F129" s="193"/>
      <c r="G129" s="195"/>
      <c r="H129" s="195"/>
      <c r="I129" s="195"/>
      <c r="J129" s="193"/>
      <c r="K129" s="193"/>
      <c r="L129" s="193"/>
      <c r="M129" s="193"/>
      <c r="N129" s="193"/>
      <c r="O129" s="193"/>
      <c r="P129" s="193"/>
      <c r="Q129" s="193"/>
      <c r="R129" s="195"/>
      <c r="S129" s="195"/>
      <c r="T129" s="195"/>
      <c r="U129" s="195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</row>
    <row r="130" spans="1:53" s="172" customFormat="1" hidden="1" x14ac:dyDescent="0.25">
      <c r="A130" s="204" t="s">
        <v>241</v>
      </c>
      <c r="B130" s="192"/>
      <c r="C130" s="204"/>
      <c r="D130" s="204"/>
      <c r="E130" s="204"/>
      <c r="F130" s="204"/>
      <c r="G130" s="165"/>
      <c r="H130" s="165"/>
      <c r="I130" s="165"/>
      <c r="J130" s="191"/>
      <c r="K130" s="165"/>
      <c r="L130" s="165"/>
      <c r="M130" s="165"/>
      <c r="N130" s="165"/>
      <c r="O130" s="191"/>
      <c r="P130" s="191"/>
      <c r="Q130" s="191"/>
      <c r="R130" s="165"/>
      <c r="S130" s="165"/>
      <c r="T130" s="165"/>
      <c r="U130" s="165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</row>
    <row r="131" spans="1:53" s="13" customFormat="1" hidden="1" x14ac:dyDescent="0.25">
      <c r="A131" s="204" t="s">
        <v>242</v>
      </c>
      <c r="B131" s="192"/>
      <c r="C131" s="204"/>
      <c r="D131" s="204"/>
      <c r="E131" s="204"/>
      <c r="F131" s="204"/>
      <c r="G131" s="165"/>
      <c r="H131" s="165"/>
      <c r="I131" s="165"/>
      <c r="J131" s="191"/>
      <c r="K131" s="191"/>
      <c r="L131" s="191"/>
      <c r="M131" s="191"/>
      <c r="N131" s="191"/>
      <c r="O131" s="191"/>
      <c r="P131" s="191"/>
      <c r="Q131" s="191"/>
      <c r="R131" s="165"/>
      <c r="S131" s="165"/>
      <c r="T131" s="165"/>
      <c r="U131" s="165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</row>
    <row r="132" spans="1:53" s="11" customFormat="1" x14ac:dyDescent="0.25">
      <c r="A132" s="176"/>
      <c r="B132" s="345"/>
      <c r="C132" s="176"/>
      <c r="D132" s="176"/>
      <c r="E132" s="176"/>
      <c r="F132" s="176"/>
      <c r="G132" s="9"/>
      <c r="H132" s="9"/>
      <c r="I132" s="9"/>
      <c r="J132" s="176"/>
      <c r="K132" s="176"/>
      <c r="L132" s="176"/>
      <c r="M132" s="176"/>
      <c r="N132" s="176"/>
      <c r="O132" s="176"/>
      <c r="P132" s="176"/>
      <c r="Q132" s="176"/>
      <c r="R132" s="9"/>
      <c r="S132" s="9"/>
      <c r="T132" s="9"/>
      <c r="U132" s="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s="11" customFormat="1" ht="14.25" customHeight="1" x14ac:dyDescent="0.25">
      <c r="A133" s="175" t="s">
        <v>247</v>
      </c>
      <c r="B133" s="6">
        <v>729709</v>
      </c>
      <c r="C133" s="6">
        <v>728167</v>
      </c>
      <c r="D133" s="6">
        <v>722725.70744000003</v>
      </c>
      <c r="E133" s="6">
        <v>720364.73486999993</v>
      </c>
      <c r="F133" s="6">
        <v>714754.97467000003</v>
      </c>
      <c r="G133" s="6">
        <v>700554.19840999984</v>
      </c>
      <c r="H133" s="6">
        <v>697466.91275999974</v>
      </c>
      <c r="I133" s="6">
        <v>694162</v>
      </c>
      <c r="J133" s="6">
        <v>687042</v>
      </c>
      <c r="K133" s="6">
        <v>688678.14317999978</v>
      </c>
      <c r="L133" s="6">
        <v>689257.76796999993</v>
      </c>
      <c r="M133" s="6">
        <v>668590.49613999994</v>
      </c>
      <c r="N133" s="6">
        <v>671075.33269999991</v>
      </c>
      <c r="O133" s="6">
        <v>671519.69868999987</v>
      </c>
      <c r="P133" s="6">
        <v>666030.3001600001</v>
      </c>
      <c r="Q133" s="6">
        <v>666367.24664999999</v>
      </c>
      <c r="R133" s="6">
        <v>667234.61163000006</v>
      </c>
      <c r="S133" s="6">
        <v>663051.37163000007</v>
      </c>
      <c r="T133" s="6">
        <v>658997.80223999999</v>
      </c>
      <c r="U133" s="6">
        <v>651702.47357000003</v>
      </c>
      <c r="V133" s="7">
        <v>649396.88869000005</v>
      </c>
      <c r="W133" s="7">
        <v>635240.07165000006</v>
      </c>
      <c r="X133" s="7">
        <v>636761.8894300001</v>
      </c>
      <c r="Y133" s="7">
        <v>626345.79999999993</v>
      </c>
      <c r="Z133" s="7">
        <v>615619</v>
      </c>
      <c r="AA133" s="7">
        <v>594911</v>
      </c>
      <c r="AB133" s="7">
        <v>577991</v>
      </c>
      <c r="AC133" s="7">
        <v>553546</v>
      </c>
      <c r="AD133" s="7">
        <v>537180</v>
      </c>
      <c r="AE133" s="7">
        <v>514199</v>
      </c>
      <c r="AF133" s="7">
        <v>493210</v>
      </c>
      <c r="AG133" s="7">
        <v>484292</v>
      </c>
      <c r="AH133" s="7">
        <v>482997</v>
      </c>
      <c r="AI133" s="7">
        <v>482525</v>
      </c>
      <c r="AJ133" s="7">
        <v>481899</v>
      </c>
      <c r="AK133" s="7">
        <v>487710</v>
      </c>
      <c r="AL133" s="7">
        <v>492831</v>
      </c>
      <c r="AM133" s="7">
        <v>488750</v>
      </c>
      <c r="AN133" s="7">
        <v>491348</v>
      </c>
      <c r="AO133" s="7">
        <v>621649</v>
      </c>
      <c r="AP133" s="7">
        <v>632126</v>
      </c>
      <c r="AQ133" s="7">
        <v>626379</v>
      </c>
      <c r="AR133" s="7">
        <v>629367</v>
      </c>
      <c r="AS133" s="7">
        <v>645920</v>
      </c>
      <c r="AT133" s="7">
        <v>662438</v>
      </c>
      <c r="AU133" s="7">
        <v>676303</v>
      </c>
      <c r="AV133" s="7">
        <v>690654</v>
      </c>
      <c r="AW133" s="7">
        <v>705236</v>
      </c>
      <c r="AX133" s="7">
        <v>721910</v>
      </c>
      <c r="AY133" s="7">
        <v>738844</v>
      </c>
      <c r="AZ133" s="7">
        <v>747651</v>
      </c>
      <c r="BA133" s="7">
        <v>750277</v>
      </c>
    </row>
    <row r="134" spans="1:53" s="11" customFormat="1" x14ac:dyDescent="0.25">
      <c r="A134" s="174" t="s">
        <v>26</v>
      </c>
      <c r="B134" s="9">
        <v>3323</v>
      </c>
      <c r="C134" s="9">
        <v>4255.8576999999996</v>
      </c>
      <c r="D134" s="9">
        <v>5188.8518400000003</v>
      </c>
      <c r="E134" s="9">
        <v>6122.7849200000001</v>
      </c>
      <c r="F134" s="9">
        <v>7513.5131099999999</v>
      </c>
      <c r="G134" s="9">
        <v>10484.305540000003</v>
      </c>
      <c r="H134" s="9">
        <v>13639.521030000004</v>
      </c>
      <c r="I134" s="9">
        <v>16814</v>
      </c>
      <c r="J134" s="9">
        <v>19996</v>
      </c>
      <c r="K134" s="9">
        <v>23174.586340000009</v>
      </c>
      <c r="L134" s="9">
        <v>26570.772900000004</v>
      </c>
      <c r="M134" s="9">
        <v>30142.550930000001</v>
      </c>
      <c r="N134" s="9">
        <v>33733.328169999993</v>
      </c>
      <c r="O134" s="9">
        <v>37794.563840000003</v>
      </c>
      <c r="P134" s="9">
        <v>41895.764289999999</v>
      </c>
      <c r="Q134" s="9">
        <v>45996.964820000001</v>
      </c>
      <c r="R134" s="9">
        <v>50098.165349999996</v>
      </c>
      <c r="S134" s="9">
        <v>54193.585160000002</v>
      </c>
      <c r="T134" s="9">
        <v>58288.161689999994</v>
      </c>
      <c r="U134" s="9">
        <v>62408.39256</v>
      </c>
      <c r="V134" s="10">
        <v>66569.330459999997</v>
      </c>
      <c r="W134" s="10">
        <v>71107.603060000009</v>
      </c>
      <c r="X134" s="10">
        <v>76118.50046000001</v>
      </c>
      <c r="Y134" s="10">
        <v>81122.899999999994</v>
      </c>
      <c r="Z134" s="10">
        <v>86119</v>
      </c>
      <c r="AA134" s="10">
        <v>91106</v>
      </c>
      <c r="AB134" s="10">
        <v>96092</v>
      </c>
      <c r="AC134" s="10">
        <v>101108</v>
      </c>
      <c r="AD134" s="10">
        <v>106048</v>
      </c>
      <c r="AE134" s="10">
        <v>110324</v>
      </c>
      <c r="AF134" s="10">
        <v>114563</v>
      </c>
      <c r="AG134" s="10">
        <v>118815</v>
      </c>
      <c r="AH134" s="10">
        <v>122978</v>
      </c>
      <c r="AI134" s="10">
        <v>126636</v>
      </c>
      <c r="AJ134" s="10">
        <v>129799</v>
      </c>
      <c r="AK134" s="10">
        <v>132688</v>
      </c>
      <c r="AL134" s="10">
        <v>109568</v>
      </c>
      <c r="AM134" s="10">
        <v>99934</v>
      </c>
      <c r="AN134" s="10">
        <v>101058</v>
      </c>
      <c r="AO134" s="10">
        <v>90371</v>
      </c>
      <c r="AP134" s="10">
        <v>77023</v>
      </c>
      <c r="AQ134" s="10">
        <v>64122</v>
      </c>
      <c r="AR134" s="10">
        <v>55764</v>
      </c>
      <c r="AS134" s="10">
        <v>21680</v>
      </c>
      <c r="AT134" s="10">
        <v>14050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</row>
    <row r="135" spans="1:53" s="11" customFormat="1" x14ac:dyDescent="0.25">
      <c r="A135" s="175" t="s">
        <v>88</v>
      </c>
      <c r="B135" s="6"/>
      <c r="C135" s="6">
        <v>0</v>
      </c>
      <c r="D135" s="6">
        <v>0</v>
      </c>
      <c r="E135" s="6" t="s">
        <v>0</v>
      </c>
      <c r="F135" s="6" t="s">
        <v>0</v>
      </c>
      <c r="G135" s="6" t="s">
        <v>0</v>
      </c>
      <c r="H135" s="6" t="s">
        <v>0</v>
      </c>
      <c r="I135" s="6" t="s">
        <v>0</v>
      </c>
      <c r="J135" s="6" t="s">
        <v>0</v>
      </c>
      <c r="K135" s="6"/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540</v>
      </c>
      <c r="AM135" s="7">
        <v>1635</v>
      </c>
      <c r="AN135" s="7">
        <v>2912</v>
      </c>
      <c r="AO135" s="7">
        <v>3254</v>
      </c>
      <c r="AP135" s="7">
        <v>4079</v>
      </c>
      <c r="AQ135" s="7">
        <v>6639</v>
      </c>
      <c r="AR135" s="7">
        <v>7700</v>
      </c>
      <c r="AS135" s="7">
        <v>7874</v>
      </c>
      <c r="AT135" s="7">
        <v>8655</v>
      </c>
      <c r="AU135" s="7">
        <v>11208</v>
      </c>
      <c r="AV135" s="7">
        <v>11910</v>
      </c>
      <c r="AW135" s="7">
        <v>11793</v>
      </c>
      <c r="AX135" s="7">
        <v>12473</v>
      </c>
      <c r="AY135" s="7">
        <v>14866</v>
      </c>
      <c r="AZ135" s="7">
        <v>15765</v>
      </c>
      <c r="BA135" s="7">
        <v>15760</v>
      </c>
    </row>
    <row r="136" spans="1:53" s="11" customFormat="1" x14ac:dyDescent="0.25">
      <c r="A136" s="174" t="s">
        <v>87</v>
      </c>
      <c r="B136" s="9"/>
      <c r="C136" s="9">
        <v>0</v>
      </c>
      <c r="D136" s="9">
        <v>0</v>
      </c>
      <c r="E136" s="9" t="s">
        <v>0</v>
      </c>
      <c r="F136" s="9" t="s">
        <v>0</v>
      </c>
      <c r="G136" s="9" t="s">
        <v>0</v>
      </c>
      <c r="H136" s="9" t="s">
        <v>0</v>
      </c>
      <c r="I136" s="9" t="s">
        <v>0</v>
      </c>
      <c r="J136" s="9" t="s">
        <v>0</v>
      </c>
      <c r="K136" s="9"/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3327</v>
      </c>
      <c r="AQ136" s="10">
        <v>13218</v>
      </c>
      <c r="AR136" s="10">
        <v>22974</v>
      </c>
      <c r="AS136" s="10">
        <v>32605</v>
      </c>
      <c r="AT136" s="10">
        <v>42112</v>
      </c>
      <c r="AU136" s="10">
        <v>51493</v>
      </c>
      <c r="AV136" s="10">
        <v>60736</v>
      </c>
      <c r="AW136" s="10">
        <v>69824</v>
      </c>
      <c r="AX136" s="10">
        <v>78681</v>
      </c>
      <c r="AY136" s="10">
        <v>87359</v>
      </c>
      <c r="AZ136" s="10">
        <v>95685</v>
      </c>
      <c r="BA136" s="10">
        <v>103955</v>
      </c>
    </row>
    <row r="137" spans="1:53" s="11" customFormat="1" x14ac:dyDescent="0.25">
      <c r="A137" s="175" t="s">
        <v>86</v>
      </c>
      <c r="B137" s="6"/>
      <c r="C137" s="6">
        <v>0</v>
      </c>
      <c r="D137" s="6">
        <v>0</v>
      </c>
      <c r="E137" s="6" t="s">
        <v>0</v>
      </c>
      <c r="F137" s="6" t="s">
        <v>0</v>
      </c>
      <c r="G137" s="6" t="s">
        <v>0</v>
      </c>
      <c r="H137" s="6" t="s">
        <v>0</v>
      </c>
      <c r="I137" s="6" t="s">
        <v>0</v>
      </c>
      <c r="J137" s="6" t="s">
        <v>0</v>
      </c>
      <c r="K137" s="6"/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154931</v>
      </c>
      <c r="AJ137" s="7">
        <v>149465</v>
      </c>
      <c r="AK137" s="7">
        <v>144794</v>
      </c>
      <c r="AL137" s="7">
        <v>140585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163291</v>
      </c>
      <c r="AW137" s="7">
        <v>159785</v>
      </c>
      <c r="AX137" s="7">
        <v>155924</v>
      </c>
      <c r="AY137" s="7">
        <v>148000</v>
      </c>
      <c r="AZ137" s="7">
        <v>0</v>
      </c>
      <c r="BA137" s="7">
        <v>0</v>
      </c>
    </row>
    <row r="138" spans="1:53" s="11" customFormat="1" x14ac:dyDescent="0.25">
      <c r="A138" s="174" t="s">
        <v>27</v>
      </c>
      <c r="B138" s="9">
        <v>17187</v>
      </c>
      <c r="C138" s="9">
        <v>20189</v>
      </c>
      <c r="D138" s="9">
        <v>23162.299130000003</v>
      </c>
      <c r="E138" s="9">
        <v>40646.329460000001</v>
      </c>
      <c r="F138" s="9">
        <v>58008.557390000002</v>
      </c>
      <c r="G138" s="9">
        <v>75268.62281999999</v>
      </c>
      <c r="H138" s="9">
        <v>92480</v>
      </c>
      <c r="I138" s="9">
        <v>109686</v>
      </c>
      <c r="J138" s="9">
        <v>126994</v>
      </c>
      <c r="K138" s="9">
        <v>144300.75641999999</v>
      </c>
      <c r="L138" s="9">
        <v>161635.34709</v>
      </c>
      <c r="M138" s="9">
        <v>207837.95863000001</v>
      </c>
      <c r="N138" s="9">
        <v>228136.91954999999</v>
      </c>
      <c r="O138" s="9">
        <v>248416.29268000001</v>
      </c>
      <c r="P138" s="9">
        <v>244492.34143999999</v>
      </c>
      <c r="Q138" s="9">
        <v>241416.87325999999</v>
      </c>
      <c r="R138" s="9">
        <v>260364.87291000001</v>
      </c>
      <c r="S138" s="9">
        <v>279761.33527000004</v>
      </c>
      <c r="T138" s="9">
        <v>299091.93296999997</v>
      </c>
      <c r="U138" s="9">
        <v>319040.70376999996</v>
      </c>
      <c r="V138" s="10">
        <v>337475.45166000002</v>
      </c>
      <c r="W138" s="10">
        <v>355974.79371</v>
      </c>
      <c r="X138" s="10">
        <v>346870.70495000004</v>
      </c>
      <c r="Y138" s="10">
        <v>364322.19999999995</v>
      </c>
      <c r="Z138" s="10">
        <v>381519</v>
      </c>
      <c r="AA138" s="10">
        <v>398325</v>
      </c>
      <c r="AB138" s="10">
        <v>415036</v>
      </c>
      <c r="AC138" s="10">
        <v>431928</v>
      </c>
      <c r="AD138" s="10">
        <v>447787</v>
      </c>
      <c r="AE138" s="10">
        <v>463961</v>
      </c>
      <c r="AF138" s="10">
        <v>479824</v>
      </c>
      <c r="AG138" s="10">
        <v>495682</v>
      </c>
      <c r="AH138" s="10">
        <v>511330</v>
      </c>
      <c r="AI138" s="10">
        <v>521804</v>
      </c>
      <c r="AJ138" s="10">
        <v>538342</v>
      </c>
      <c r="AK138" s="10">
        <v>552296</v>
      </c>
      <c r="AL138" s="10">
        <v>559345</v>
      </c>
      <c r="AM138" s="10">
        <v>543231</v>
      </c>
      <c r="AN138" s="10">
        <v>532578</v>
      </c>
      <c r="AO138" s="10">
        <v>531048</v>
      </c>
      <c r="AP138" s="10">
        <v>544841</v>
      </c>
      <c r="AQ138" s="10">
        <v>560563</v>
      </c>
      <c r="AR138" s="10">
        <v>575201</v>
      </c>
      <c r="AS138" s="10">
        <v>577872</v>
      </c>
      <c r="AT138" s="10">
        <v>592231</v>
      </c>
      <c r="AU138" s="10">
        <v>591175</v>
      </c>
      <c r="AV138" s="10">
        <v>592419</v>
      </c>
      <c r="AW138" s="10">
        <v>591040</v>
      </c>
      <c r="AX138" s="10">
        <v>588047</v>
      </c>
      <c r="AY138" s="10">
        <v>536920</v>
      </c>
      <c r="AZ138" s="10">
        <v>519519</v>
      </c>
      <c r="BA138" s="10">
        <v>415933</v>
      </c>
    </row>
    <row r="139" spans="1:53" s="11" customFormat="1" x14ac:dyDescent="0.25">
      <c r="A139" s="175" t="s">
        <v>254</v>
      </c>
      <c r="B139" s="6"/>
      <c r="C139" s="6">
        <v>0</v>
      </c>
      <c r="D139" s="6">
        <v>0</v>
      </c>
      <c r="E139" s="6" t="s">
        <v>0</v>
      </c>
      <c r="F139" s="6" t="s">
        <v>0</v>
      </c>
      <c r="G139" s="6" t="s">
        <v>0</v>
      </c>
      <c r="H139" s="6" t="s">
        <v>0</v>
      </c>
      <c r="I139" s="6" t="s">
        <v>0</v>
      </c>
      <c r="J139" s="6" t="s">
        <v>0</v>
      </c>
      <c r="K139" s="6"/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3879</v>
      </c>
      <c r="AO139" s="7">
        <v>15516</v>
      </c>
      <c r="AP139" s="7">
        <v>27091</v>
      </c>
      <c r="AQ139" s="7">
        <v>38791</v>
      </c>
      <c r="AR139" s="7">
        <v>50417</v>
      </c>
      <c r="AS139" s="7">
        <v>62094</v>
      </c>
      <c r="AT139" s="7">
        <v>73717</v>
      </c>
      <c r="AU139" s="7">
        <v>85335</v>
      </c>
      <c r="AV139" s="7">
        <v>97037</v>
      </c>
      <c r="AW139" s="7">
        <v>108709</v>
      </c>
      <c r="AX139" s="7">
        <v>120356</v>
      </c>
      <c r="AY139" s="7">
        <v>131971</v>
      </c>
      <c r="AZ139" s="7">
        <v>143615</v>
      </c>
      <c r="BA139" s="7">
        <v>155299</v>
      </c>
    </row>
    <row r="140" spans="1:53" s="11" customFormat="1" x14ac:dyDescent="0.25">
      <c r="A140" s="174" t="s">
        <v>255</v>
      </c>
      <c r="B140" s="9"/>
      <c r="C140" s="9">
        <v>0</v>
      </c>
      <c r="D140" s="9">
        <v>0</v>
      </c>
      <c r="E140" s="9" t="s">
        <v>0</v>
      </c>
      <c r="F140" s="9" t="s">
        <v>0</v>
      </c>
      <c r="G140" s="9" t="s">
        <v>0</v>
      </c>
      <c r="H140" s="9" t="s">
        <v>0</v>
      </c>
      <c r="I140" s="9" t="s">
        <v>0</v>
      </c>
      <c r="J140" s="9" t="s">
        <v>0</v>
      </c>
      <c r="K140" s="9"/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7</v>
      </c>
      <c r="AT140" s="10">
        <v>7</v>
      </c>
      <c r="AU140" s="10">
        <v>8</v>
      </c>
      <c r="AV140" s="10">
        <v>9</v>
      </c>
      <c r="AW140" s="10">
        <v>140800</v>
      </c>
      <c r="AX140" s="10">
        <v>137991</v>
      </c>
      <c r="AY140" s="10">
        <v>140841</v>
      </c>
      <c r="AZ140" s="10">
        <v>136000</v>
      </c>
      <c r="BA140" s="10">
        <v>137182.11199999999</v>
      </c>
    </row>
    <row r="141" spans="1:53" s="11" customFormat="1" x14ac:dyDescent="0.25">
      <c r="A141" s="175" t="s">
        <v>256</v>
      </c>
      <c r="B141" s="6"/>
      <c r="C141" s="6">
        <v>0</v>
      </c>
      <c r="D141" s="6">
        <v>0</v>
      </c>
      <c r="E141" s="6" t="s">
        <v>0</v>
      </c>
      <c r="F141" s="6" t="s">
        <v>0</v>
      </c>
      <c r="G141" s="6" t="s">
        <v>0</v>
      </c>
      <c r="H141" s="6" t="s">
        <v>0</v>
      </c>
      <c r="I141" s="6" t="s">
        <v>0</v>
      </c>
      <c r="J141" s="6" t="s">
        <v>0</v>
      </c>
      <c r="K141" s="6"/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12392.496959999999</v>
      </c>
      <c r="T141" s="6">
        <v>24779.708299999995</v>
      </c>
      <c r="U141" s="6">
        <v>37170.51989000001</v>
      </c>
      <c r="V141" s="7">
        <v>49419.147629999992</v>
      </c>
      <c r="W141" s="7">
        <v>61626.41055595332</v>
      </c>
      <c r="X141" s="7">
        <v>73882.242557849473</v>
      </c>
      <c r="Y141" s="7">
        <v>86089.9</v>
      </c>
      <c r="Z141" s="7">
        <v>98212</v>
      </c>
      <c r="AA141" s="7">
        <v>110164</v>
      </c>
      <c r="AB141" s="7">
        <v>122083</v>
      </c>
      <c r="AC141" s="7">
        <v>136416</v>
      </c>
      <c r="AD141" s="7">
        <v>145634</v>
      </c>
      <c r="AE141" s="7">
        <v>157277</v>
      </c>
      <c r="AF141" s="7">
        <v>168768</v>
      </c>
      <c r="AG141" s="7">
        <v>180219</v>
      </c>
      <c r="AH141" s="7">
        <v>191555</v>
      </c>
      <c r="AI141" s="7">
        <v>202994</v>
      </c>
      <c r="AJ141" s="7">
        <v>214677</v>
      </c>
      <c r="AK141" s="7">
        <v>226560</v>
      </c>
      <c r="AL141" s="7">
        <v>238485</v>
      </c>
      <c r="AM141" s="7">
        <v>250360</v>
      </c>
      <c r="AN141" s="7">
        <v>262230</v>
      </c>
      <c r="AO141" s="7">
        <v>274150</v>
      </c>
      <c r="AP141" s="7">
        <v>285510</v>
      </c>
      <c r="AQ141" s="7">
        <v>297989</v>
      </c>
      <c r="AR141" s="7">
        <v>309848</v>
      </c>
      <c r="AS141" s="7">
        <v>321955</v>
      </c>
      <c r="AT141" s="7">
        <v>333808</v>
      </c>
      <c r="AU141" s="7">
        <v>345658</v>
      </c>
      <c r="AV141" s="7">
        <v>357796</v>
      </c>
      <c r="AW141" s="7">
        <v>369804</v>
      </c>
      <c r="AX141" s="7">
        <v>381733</v>
      </c>
      <c r="AY141" s="7">
        <v>393575</v>
      </c>
      <c r="AZ141" s="7">
        <v>405501</v>
      </c>
      <c r="BA141" s="7">
        <v>417521</v>
      </c>
    </row>
    <row r="142" spans="1:53" s="11" customFormat="1" x14ac:dyDescent="0.25">
      <c r="A142" s="174" t="s">
        <v>257</v>
      </c>
      <c r="B142" s="9"/>
      <c r="C142" s="9">
        <v>0</v>
      </c>
      <c r="D142" s="9">
        <v>0</v>
      </c>
      <c r="E142" s="9" t="s">
        <v>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>
        <v>0</v>
      </c>
      <c r="T142" s="9">
        <v>0</v>
      </c>
      <c r="U142" s="9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</row>
    <row r="143" spans="1:53" s="11" customFormat="1" x14ac:dyDescent="0.25">
      <c r="A143" s="170" t="s">
        <v>114</v>
      </c>
      <c r="B143" s="6"/>
      <c r="C143" s="6">
        <v>0</v>
      </c>
      <c r="D143" s="6">
        <v>0</v>
      </c>
      <c r="E143" s="6" t="s">
        <v>0</v>
      </c>
      <c r="F143" s="6" t="s">
        <v>0</v>
      </c>
      <c r="G143" s="6"/>
      <c r="H143" s="6">
        <v>2218.7476799999999</v>
      </c>
      <c r="I143" s="6">
        <v>8859</v>
      </c>
      <c r="J143" s="6">
        <v>15497</v>
      </c>
      <c r="K143" s="6">
        <v>22131.202339999996</v>
      </c>
      <c r="L143" s="6">
        <v>28767.499749999999</v>
      </c>
      <c r="M143" s="6">
        <v>45525.588329999999</v>
      </c>
      <c r="N143" s="6">
        <v>54065.26238</v>
      </c>
      <c r="O143" s="6">
        <v>59451.881909999996</v>
      </c>
      <c r="P143" s="6">
        <v>58508.358500000002</v>
      </c>
      <c r="Q143" s="6">
        <v>60041.538560000001</v>
      </c>
      <c r="R143" s="6">
        <v>66480.64936000001</v>
      </c>
      <c r="S143" s="6">
        <v>72916.393929999991</v>
      </c>
      <c r="T143" s="6">
        <v>79333.888080000004</v>
      </c>
      <c r="U143" s="6">
        <v>85764.466230000005</v>
      </c>
      <c r="V143" s="7">
        <v>91943.177670000005</v>
      </c>
      <c r="W143" s="7">
        <v>98081.404966757007</v>
      </c>
      <c r="X143" s="7">
        <v>104379.41075917875</v>
      </c>
      <c r="Y143" s="7">
        <v>110634.5</v>
      </c>
      <c r="Z143" s="7">
        <v>116810</v>
      </c>
      <c r="AA143" s="7">
        <v>122867</v>
      </c>
      <c r="AB143" s="7">
        <v>128892</v>
      </c>
      <c r="AC143" s="7">
        <v>134990</v>
      </c>
      <c r="AD143" s="7">
        <v>140736</v>
      </c>
      <c r="AE143" s="7">
        <v>146572</v>
      </c>
      <c r="AF143" s="7">
        <v>152275</v>
      </c>
      <c r="AG143" s="7">
        <v>158000</v>
      </c>
      <c r="AH143" s="7">
        <v>163657</v>
      </c>
      <c r="AI143" s="7">
        <v>169431</v>
      </c>
      <c r="AJ143" s="7">
        <v>175419</v>
      </c>
      <c r="AK143" s="7">
        <v>181575</v>
      </c>
      <c r="AL143" s="7">
        <v>187761</v>
      </c>
      <c r="AM143" s="7">
        <v>193917</v>
      </c>
      <c r="AN143" s="7">
        <v>303644</v>
      </c>
      <c r="AO143" s="7">
        <v>291332</v>
      </c>
      <c r="AP143" s="7">
        <v>278640</v>
      </c>
      <c r="AQ143" s="7">
        <v>269193</v>
      </c>
      <c r="AR143" s="7">
        <v>285152</v>
      </c>
      <c r="AS143" s="7">
        <v>275202</v>
      </c>
      <c r="AT143" s="7">
        <v>225472</v>
      </c>
      <c r="AU143" s="7">
        <v>253563</v>
      </c>
      <c r="AV143" s="7">
        <v>75964</v>
      </c>
      <c r="AW143" s="7">
        <v>226093</v>
      </c>
      <c r="AX143" s="7">
        <v>225605</v>
      </c>
      <c r="AY143" s="7">
        <v>186575</v>
      </c>
      <c r="AZ143" s="7">
        <v>141046</v>
      </c>
      <c r="BA143" s="7">
        <v>98475</v>
      </c>
    </row>
    <row r="144" spans="1:53" s="11" customFormat="1" x14ac:dyDescent="0.25">
      <c r="A144" s="169" t="s">
        <v>115</v>
      </c>
      <c r="B144" s="9"/>
      <c r="C144" s="9">
        <v>0</v>
      </c>
      <c r="D144" s="9">
        <v>0</v>
      </c>
      <c r="E144" s="9" t="s">
        <v>0</v>
      </c>
      <c r="F144" s="9" t="s">
        <v>0</v>
      </c>
      <c r="G144" s="9"/>
      <c r="H144" s="9">
        <v>59640.331340000004</v>
      </c>
      <c r="I144" s="9">
        <v>56584</v>
      </c>
      <c r="J144" s="9">
        <v>54147</v>
      </c>
      <c r="K144" s="9">
        <v>51246.234759999999</v>
      </c>
      <c r="L144" s="9">
        <v>106988.54069952352</v>
      </c>
      <c r="M144" s="9">
        <v>154066.53010999999</v>
      </c>
      <c r="N144" s="9">
        <v>147224.29147999999</v>
      </c>
      <c r="O144" s="9">
        <v>140682.91182000001</v>
      </c>
      <c r="P144" s="9">
        <v>135502.82782999999</v>
      </c>
      <c r="Q144" s="9">
        <v>134224.36416</v>
      </c>
      <c r="R144" s="9">
        <v>129308.75570000001</v>
      </c>
      <c r="S144" s="9">
        <v>125720.73585</v>
      </c>
      <c r="T144" s="9">
        <v>178132.19516</v>
      </c>
      <c r="U144" s="9">
        <v>171950.40976000001</v>
      </c>
      <c r="V144" s="10">
        <v>166877.50952000002</v>
      </c>
      <c r="W144" s="10">
        <v>162094.54255284421</v>
      </c>
      <c r="X144" s="10">
        <v>212871.73959724023</v>
      </c>
      <c r="Y144" s="10">
        <v>206933.8</v>
      </c>
      <c r="Z144" s="10">
        <v>200527</v>
      </c>
      <c r="AA144" s="10">
        <v>194669</v>
      </c>
      <c r="AB144" s="10">
        <v>248659</v>
      </c>
      <c r="AC144" s="10">
        <v>241869</v>
      </c>
      <c r="AD144" s="10">
        <v>234157</v>
      </c>
      <c r="AE144" s="10">
        <v>228090</v>
      </c>
      <c r="AF144" s="10">
        <v>279925</v>
      </c>
      <c r="AG144" s="10">
        <v>269129</v>
      </c>
      <c r="AH144" s="10">
        <v>255469</v>
      </c>
      <c r="AI144" s="10">
        <v>244054</v>
      </c>
      <c r="AJ144" s="10">
        <v>293976</v>
      </c>
      <c r="AK144" s="10">
        <v>279110</v>
      </c>
      <c r="AL144" s="10">
        <v>264654</v>
      </c>
      <c r="AM144" s="10">
        <v>254965</v>
      </c>
      <c r="AN144" s="10">
        <v>200070</v>
      </c>
      <c r="AO144" s="10">
        <v>206258</v>
      </c>
      <c r="AP144" s="10">
        <v>212071</v>
      </c>
      <c r="AQ144" s="10">
        <v>218634</v>
      </c>
      <c r="AR144" s="10">
        <v>225206</v>
      </c>
      <c r="AS144" s="10">
        <v>225167</v>
      </c>
      <c r="AT144" s="10">
        <v>263610</v>
      </c>
      <c r="AU144" s="10">
        <v>225429</v>
      </c>
      <c r="AV144" s="10">
        <v>225605</v>
      </c>
      <c r="AW144" s="10">
        <v>72982</v>
      </c>
      <c r="AX144" s="10">
        <v>37300</v>
      </c>
      <c r="AY144" s="10">
        <v>0</v>
      </c>
      <c r="AZ144" s="10">
        <v>0</v>
      </c>
      <c r="BA144" s="10">
        <v>0</v>
      </c>
    </row>
    <row r="145" spans="1:54" s="11" customFormat="1" x14ac:dyDescent="0.25">
      <c r="A145" s="170" t="s">
        <v>243</v>
      </c>
      <c r="B145" s="6"/>
      <c r="C145" s="6">
        <v>0</v>
      </c>
      <c r="D145" s="6">
        <v>0</v>
      </c>
      <c r="E145" s="6" t="s">
        <v>0</v>
      </c>
      <c r="F145" s="6" t="s">
        <v>0</v>
      </c>
      <c r="G145" s="6"/>
      <c r="H145" s="6">
        <v>2937.62192</v>
      </c>
      <c r="I145" s="6">
        <v>11730</v>
      </c>
      <c r="J145" s="6">
        <v>20519</v>
      </c>
      <c r="K145" s="6">
        <v>29301.711880000006</v>
      </c>
      <c r="L145" s="6">
        <v>38088.169650000003</v>
      </c>
      <c r="M145" s="6">
        <v>60275.878959999995</v>
      </c>
      <c r="N145" s="6">
        <v>71582.407390000008</v>
      </c>
      <c r="O145" s="6">
        <v>78714.291169999997</v>
      </c>
      <c r="P145" s="6">
        <v>77465.066749999998</v>
      </c>
      <c r="Q145" s="6">
        <v>79494.997260000004</v>
      </c>
      <c r="R145" s="6">
        <v>88020.379939999999</v>
      </c>
      <c r="S145" s="6">
        <v>96541.305720000004</v>
      </c>
      <c r="T145" s="6">
        <v>105038.06822</v>
      </c>
      <c r="U145" s="6">
        <v>113552.12913000002</v>
      </c>
      <c r="V145" s="7">
        <v>121732.74305000002</v>
      </c>
      <c r="W145" s="7">
        <v>129859.77958899451</v>
      </c>
      <c r="X145" s="7">
        <v>138198.33924851299</v>
      </c>
      <c r="Y145" s="7">
        <v>146480</v>
      </c>
      <c r="Z145" s="7">
        <v>154656</v>
      </c>
      <c r="AA145" s="7">
        <v>162675</v>
      </c>
      <c r="AB145" s="7">
        <v>170653</v>
      </c>
      <c r="AC145" s="7">
        <v>178727</v>
      </c>
      <c r="AD145" s="7">
        <v>186296</v>
      </c>
      <c r="AE145" s="7">
        <v>194022</v>
      </c>
      <c r="AF145" s="7">
        <v>201612</v>
      </c>
      <c r="AG145" s="7">
        <v>209192</v>
      </c>
      <c r="AH145" s="7">
        <v>216682</v>
      </c>
      <c r="AI145" s="7">
        <v>224326</v>
      </c>
      <c r="AJ145" s="7">
        <v>232254</v>
      </c>
      <c r="AK145" s="7">
        <v>240405</v>
      </c>
      <c r="AL145" s="7">
        <v>248596</v>
      </c>
      <c r="AM145" s="7">
        <v>230890</v>
      </c>
      <c r="AN145" s="7">
        <v>226880</v>
      </c>
      <c r="AO145" s="7">
        <v>233897</v>
      </c>
      <c r="AP145" s="7">
        <v>240490</v>
      </c>
      <c r="AQ145" s="7">
        <v>100062</v>
      </c>
      <c r="AR145" s="7">
        <v>103069</v>
      </c>
      <c r="AS145" s="7">
        <v>71228</v>
      </c>
      <c r="AT145" s="7">
        <v>71311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</row>
    <row r="146" spans="1:54" s="11" customFormat="1" x14ac:dyDescent="0.25">
      <c r="A146" s="174" t="s">
        <v>258</v>
      </c>
      <c r="B146" s="9">
        <v>136247</v>
      </c>
      <c r="C146" s="9">
        <v>140712</v>
      </c>
      <c r="D146" s="9">
        <v>145191.53502000001</v>
      </c>
      <c r="E146" s="9">
        <v>149767.94221000001</v>
      </c>
      <c r="F146" s="9">
        <v>154145.90952000002</v>
      </c>
      <c r="G146" s="9">
        <v>158454.10663999998</v>
      </c>
      <c r="H146" s="9">
        <v>162805.10574999999</v>
      </c>
      <c r="I146" s="9">
        <v>167180</v>
      </c>
      <c r="J146" s="9">
        <v>171559</v>
      </c>
      <c r="K146" s="9">
        <v>175754.77351</v>
      </c>
      <c r="L146" s="9">
        <v>180147.9179</v>
      </c>
      <c r="M146" s="9">
        <v>184667.32221000001</v>
      </c>
      <c r="N146" s="9">
        <v>188998.82834000001</v>
      </c>
      <c r="O146" s="9">
        <v>193327.35092999999</v>
      </c>
      <c r="P146" s="9">
        <v>197720.49533999999</v>
      </c>
      <c r="Q146" s="9">
        <v>202182.76947999999</v>
      </c>
      <c r="R146" s="9">
        <v>206506.78416000001</v>
      </c>
      <c r="S146" s="9">
        <v>210899.92864</v>
      </c>
      <c r="T146" s="9">
        <v>215145.87368000002</v>
      </c>
      <c r="U146" s="9">
        <v>219536.22837000003</v>
      </c>
      <c r="V146" s="10">
        <v>224002.95933000001</v>
      </c>
      <c r="W146" s="10">
        <v>228316.29586000004</v>
      </c>
      <c r="X146" s="10">
        <v>232865.65059000003</v>
      </c>
      <c r="Y146" s="10">
        <v>237258.8</v>
      </c>
      <c r="Z146" s="10">
        <v>241569</v>
      </c>
      <c r="AA146" s="10">
        <v>245961</v>
      </c>
      <c r="AB146" s="10">
        <v>250566</v>
      </c>
      <c r="AC146" s="10">
        <v>255481</v>
      </c>
      <c r="AD146" s="10">
        <v>259550</v>
      </c>
      <c r="AE146" s="10">
        <v>264013</v>
      </c>
      <c r="AF146" s="10">
        <v>268626</v>
      </c>
      <c r="AG146" s="10">
        <v>273062</v>
      </c>
      <c r="AH146" s="10">
        <v>277486</v>
      </c>
      <c r="AI146" s="10">
        <v>281705</v>
      </c>
      <c r="AJ146" s="10">
        <v>286077</v>
      </c>
      <c r="AK146" s="10">
        <v>290435</v>
      </c>
      <c r="AL146" s="10">
        <v>290367</v>
      </c>
      <c r="AM146" s="10">
        <v>290317</v>
      </c>
      <c r="AN146" s="10">
        <v>290006</v>
      </c>
      <c r="AO146" s="10">
        <v>289851</v>
      </c>
      <c r="AP146" s="10">
        <v>289477</v>
      </c>
      <c r="AQ146" s="10">
        <v>288000</v>
      </c>
      <c r="AR146" s="10">
        <v>288000</v>
      </c>
      <c r="AS146" s="10">
        <v>288000</v>
      </c>
      <c r="AT146" s="10">
        <v>288000</v>
      </c>
      <c r="AU146" s="10">
        <v>288000</v>
      </c>
      <c r="AV146" s="10">
        <v>290175</v>
      </c>
      <c r="AW146" s="10">
        <v>290371</v>
      </c>
      <c r="AX146" s="10">
        <v>290335</v>
      </c>
      <c r="AY146" s="10">
        <v>0</v>
      </c>
      <c r="AZ146" s="10">
        <v>0</v>
      </c>
      <c r="BA146" s="10">
        <v>0</v>
      </c>
    </row>
    <row r="147" spans="1:54" s="11" customFormat="1" x14ac:dyDescent="0.25">
      <c r="A147" s="175" t="s">
        <v>259</v>
      </c>
      <c r="B147" s="6"/>
      <c r="C147" s="6">
        <v>0</v>
      </c>
      <c r="D147" s="6">
        <v>0</v>
      </c>
      <c r="E147" s="6" t="s">
        <v>0</v>
      </c>
      <c r="F147" s="17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0</v>
      </c>
      <c r="T147" s="6">
        <v>0</v>
      </c>
      <c r="U147" s="6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</row>
    <row r="148" spans="1:54" s="11" customFormat="1" x14ac:dyDescent="0.25">
      <c r="A148" s="169" t="s">
        <v>216</v>
      </c>
      <c r="B148" s="9"/>
      <c r="C148" s="9">
        <v>0</v>
      </c>
      <c r="D148" s="9">
        <v>0</v>
      </c>
      <c r="E148" s="9" t="s">
        <v>0</v>
      </c>
      <c r="F148" s="9" t="s">
        <v>0</v>
      </c>
      <c r="G148" s="9" t="s">
        <v>0</v>
      </c>
      <c r="H148" s="9" t="s">
        <v>0</v>
      </c>
      <c r="I148" s="9" t="s">
        <v>0</v>
      </c>
      <c r="J148" s="9" t="s">
        <v>0</v>
      </c>
      <c r="K148" s="9"/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28992</v>
      </c>
      <c r="AE148" s="10">
        <v>29053</v>
      </c>
      <c r="AF148" s="10">
        <v>58135</v>
      </c>
      <c r="AG148" s="10">
        <v>58135</v>
      </c>
      <c r="AH148" s="10">
        <v>87235</v>
      </c>
      <c r="AI148" s="10">
        <v>87185</v>
      </c>
      <c r="AJ148" s="10">
        <v>116176</v>
      </c>
      <c r="AK148" s="10">
        <v>115933</v>
      </c>
      <c r="AL148" s="10">
        <v>144912</v>
      </c>
      <c r="AM148" s="10">
        <v>144887</v>
      </c>
      <c r="AN148" s="10">
        <v>173797</v>
      </c>
      <c r="AO148" s="10">
        <v>173511</v>
      </c>
      <c r="AP148" s="10">
        <v>201936</v>
      </c>
      <c r="AQ148" s="10">
        <v>202338</v>
      </c>
      <c r="AR148" s="10">
        <v>202029</v>
      </c>
      <c r="AS148" s="10">
        <v>201776</v>
      </c>
      <c r="AT148" s="10">
        <v>201840</v>
      </c>
      <c r="AU148" s="10">
        <v>202026</v>
      </c>
      <c r="AV148" s="10">
        <v>202324</v>
      </c>
      <c r="AW148" s="10">
        <v>202476</v>
      </c>
      <c r="AX148" s="10">
        <v>0</v>
      </c>
      <c r="AY148" s="10">
        <v>0</v>
      </c>
      <c r="AZ148" s="10">
        <v>0</v>
      </c>
      <c r="BA148" s="10">
        <v>0</v>
      </c>
    </row>
    <row r="149" spans="1:54" s="11" customFormat="1" x14ac:dyDescent="0.25">
      <c r="A149" s="170" t="s">
        <v>220</v>
      </c>
      <c r="B149" s="6"/>
      <c r="C149" s="6">
        <v>0</v>
      </c>
      <c r="D149" s="6">
        <v>0</v>
      </c>
      <c r="E149" s="6" t="s">
        <v>0</v>
      </c>
      <c r="F149" s="6" t="s">
        <v>0</v>
      </c>
      <c r="G149" s="6" t="s">
        <v>0</v>
      </c>
      <c r="H149" s="6" t="s">
        <v>0</v>
      </c>
      <c r="I149" s="6" t="s">
        <v>0</v>
      </c>
      <c r="J149" s="6" t="s">
        <v>0</v>
      </c>
      <c r="K149" s="6"/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7">
        <v>51934.885919999993</v>
      </c>
      <c r="W149" s="7">
        <v>50902.724033520266</v>
      </c>
      <c r="X149" s="7">
        <v>49410.3321702307</v>
      </c>
      <c r="Y149" s="7">
        <v>48350.6</v>
      </c>
      <c r="Z149" s="7">
        <v>100086</v>
      </c>
      <c r="AA149" s="7">
        <v>97712</v>
      </c>
      <c r="AB149" s="7">
        <v>96083</v>
      </c>
      <c r="AC149" s="7">
        <v>94117</v>
      </c>
      <c r="AD149" s="7">
        <v>146415</v>
      </c>
      <c r="AE149" s="7">
        <v>143641</v>
      </c>
      <c r="AF149" s="7">
        <v>139652</v>
      </c>
      <c r="AG149" s="7">
        <v>135150</v>
      </c>
      <c r="AH149" s="7">
        <v>182389</v>
      </c>
      <c r="AI149" s="7">
        <v>175549</v>
      </c>
      <c r="AJ149" s="7">
        <v>170133</v>
      </c>
      <c r="AK149" s="7">
        <v>163180</v>
      </c>
      <c r="AL149" s="7">
        <v>206476</v>
      </c>
      <c r="AM149" s="7">
        <v>200363</v>
      </c>
      <c r="AN149" s="7">
        <v>196021</v>
      </c>
      <c r="AO149" s="7">
        <v>189357</v>
      </c>
      <c r="AP149" s="7">
        <v>232322</v>
      </c>
      <c r="AQ149" s="7">
        <v>225900</v>
      </c>
      <c r="AR149" s="7">
        <v>221291</v>
      </c>
      <c r="AS149" s="7">
        <v>215075</v>
      </c>
      <c r="AT149" s="7">
        <v>219740</v>
      </c>
      <c r="AU149" s="7">
        <v>212832</v>
      </c>
      <c r="AV149" s="7">
        <v>207777</v>
      </c>
      <c r="AW149" s="7">
        <v>202351</v>
      </c>
      <c r="AX149" s="7">
        <v>0</v>
      </c>
      <c r="AY149" s="7">
        <v>0</v>
      </c>
      <c r="AZ149" s="7">
        <v>0</v>
      </c>
      <c r="BA149" s="7">
        <v>0</v>
      </c>
    </row>
    <row r="150" spans="1:54" s="11" customFormat="1" x14ac:dyDescent="0.25">
      <c r="A150" s="174" t="s">
        <v>260</v>
      </c>
      <c r="B150" s="9"/>
      <c r="C150" s="9">
        <v>0</v>
      </c>
      <c r="D150" s="9">
        <v>0</v>
      </c>
      <c r="E150" s="9" t="s">
        <v>0</v>
      </c>
      <c r="F150" s="174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>
        <v>0</v>
      </c>
      <c r="T150" s="9">
        <v>0</v>
      </c>
      <c r="U150" s="9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</row>
    <row r="151" spans="1:54" s="11" customFormat="1" x14ac:dyDescent="0.25">
      <c r="A151" s="170" t="s">
        <v>216</v>
      </c>
      <c r="B151" s="6"/>
      <c r="C151" s="6">
        <v>0</v>
      </c>
      <c r="D151" s="6">
        <v>0</v>
      </c>
      <c r="E151" s="6" t="s">
        <v>0</v>
      </c>
      <c r="F151" s="6" t="s">
        <v>0</v>
      </c>
      <c r="G151" s="6" t="s">
        <v>0</v>
      </c>
      <c r="H151" s="6" t="s">
        <v>0</v>
      </c>
      <c r="I151" s="6" t="s">
        <v>0</v>
      </c>
      <c r="J151" s="6" t="s">
        <v>0</v>
      </c>
      <c r="K151" s="6"/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131782.94930000001</v>
      </c>
      <c r="V151" s="7">
        <v>131818.15244000001</v>
      </c>
      <c r="W151" s="7">
        <v>131845.76671</v>
      </c>
      <c r="X151" s="7">
        <v>131810.69951999999</v>
      </c>
      <c r="Y151" s="7">
        <v>131860.4</v>
      </c>
      <c r="Z151" s="7">
        <v>132037</v>
      </c>
      <c r="AA151" s="7">
        <v>132574</v>
      </c>
      <c r="AB151" s="7">
        <v>132933</v>
      </c>
      <c r="AC151" s="7">
        <v>133466</v>
      </c>
      <c r="AD151" s="7">
        <v>133649</v>
      </c>
      <c r="AE151" s="7">
        <v>134035</v>
      </c>
      <c r="AF151" s="7">
        <v>133883</v>
      </c>
      <c r="AG151" s="7">
        <v>133808</v>
      </c>
      <c r="AH151" s="7">
        <v>133961</v>
      </c>
      <c r="AI151" s="7">
        <v>134008</v>
      </c>
      <c r="AJ151" s="7">
        <v>133569</v>
      </c>
      <c r="AK151" s="7">
        <v>133317</v>
      </c>
      <c r="AL151" s="7">
        <v>133232</v>
      </c>
      <c r="AM151" s="7">
        <v>133192</v>
      </c>
      <c r="AN151" s="7">
        <v>132896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</row>
    <row r="152" spans="1:54" s="11" customFormat="1" x14ac:dyDescent="0.25">
      <c r="A152" s="169" t="s">
        <v>217</v>
      </c>
      <c r="B152" s="9"/>
      <c r="C152" s="9">
        <v>0</v>
      </c>
      <c r="D152" s="9">
        <v>0</v>
      </c>
      <c r="E152" s="9" t="s">
        <v>0</v>
      </c>
      <c r="F152" s="9" t="s">
        <v>0</v>
      </c>
      <c r="G152" s="9" t="s">
        <v>0</v>
      </c>
      <c r="H152" s="9" t="s">
        <v>0</v>
      </c>
      <c r="I152" s="9" t="s">
        <v>0</v>
      </c>
      <c r="J152" s="9" t="s">
        <v>0</v>
      </c>
      <c r="K152" s="9"/>
      <c r="L152" s="9">
        <v>0</v>
      </c>
      <c r="M152" s="9">
        <v>37253.710500000001</v>
      </c>
      <c r="N152" s="9">
        <v>35735.724510000007</v>
      </c>
      <c r="O152" s="9">
        <v>34283.234039999996</v>
      </c>
      <c r="P152" s="9">
        <v>33375.417659999999</v>
      </c>
      <c r="Q152" s="9">
        <v>72889.44571</v>
      </c>
      <c r="R152" s="9">
        <v>69988.654550000007</v>
      </c>
      <c r="S152" s="9">
        <v>67804.001940000002</v>
      </c>
      <c r="T152" s="9">
        <v>65756.350139999995</v>
      </c>
      <c r="U152" s="9">
        <v>101640.29765000001</v>
      </c>
      <c r="V152" s="10">
        <v>99007.736600000004</v>
      </c>
      <c r="W152" s="10">
        <v>96582.951956374891</v>
      </c>
      <c r="X152" s="10">
        <v>93441.764211126181</v>
      </c>
      <c r="Y152" s="10">
        <v>130304.5</v>
      </c>
      <c r="Z152" s="10">
        <v>126739</v>
      </c>
      <c r="AA152" s="10">
        <v>123515</v>
      </c>
      <c r="AB152" s="10">
        <v>121063</v>
      </c>
      <c r="AC152" s="10">
        <v>158588</v>
      </c>
      <c r="AD152" s="10">
        <v>154136</v>
      </c>
      <c r="AE152" s="10">
        <v>150756</v>
      </c>
      <c r="AF152" s="10">
        <v>146087</v>
      </c>
      <c r="AG152" s="10">
        <v>151298</v>
      </c>
      <c r="AH152" s="10">
        <v>144151</v>
      </c>
      <c r="AI152" s="10">
        <v>138302</v>
      </c>
      <c r="AJ152" s="10">
        <v>133593</v>
      </c>
      <c r="AK152" s="10">
        <v>137178</v>
      </c>
      <c r="AL152" s="10">
        <v>130556</v>
      </c>
      <c r="AM152" s="10">
        <v>126274</v>
      </c>
      <c r="AN152" s="10">
        <v>123124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</row>
    <row r="153" spans="1:54" s="11" customFormat="1" x14ac:dyDescent="0.25">
      <c r="A153" s="175" t="s">
        <v>261</v>
      </c>
      <c r="B153" s="6"/>
      <c r="C153" s="6">
        <v>0</v>
      </c>
      <c r="D153" s="6">
        <v>0</v>
      </c>
      <c r="E153" s="6">
        <v>0</v>
      </c>
      <c r="F153" s="17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>
        <v>0</v>
      </c>
      <c r="T153" s="6">
        <v>0</v>
      </c>
      <c r="U153" s="6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</row>
    <row r="154" spans="1:54" s="11" customFormat="1" x14ac:dyDescent="0.25">
      <c r="A154" s="169" t="s">
        <v>116</v>
      </c>
      <c r="B154" s="9">
        <v>42128</v>
      </c>
      <c r="C154" s="9">
        <v>39452</v>
      </c>
      <c r="D154" s="9">
        <v>41429.107609999999</v>
      </c>
      <c r="E154" s="9">
        <v>43378.342650000006</v>
      </c>
      <c r="F154" s="9">
        <v>45298.237609999996</v>
      </c>
      <c r="G154" s="9">
        <v>47210.986380000031</v>
      </c>
      <c r="H154" s="9">
        <v>49145.317549999992</v>
      </c>
      <c r="I154" s="9">
        <v>51105</v>
      </c>
      <c r="J154" s="9">
        <v>53125</v>
      </c>
      <c r="K154" s="9">
        <v>55148.324680000049</v>
      </c>
      <c r="L154" s="9">
        <v>57184.813340000059</v>
      </c>
      <c r="M154" s="9">
        <v>63094.979380000004</v>
      </c>
      <c r="N154" s="9">
        <v>65275.033230000008</v>
      </c>
      <c r="O154" s="9">
        <v>66380.198250000001</v>
      </c>
      <c r="P154" s="9">
        <v>65276.950799999999</v>
      </c>
      <c r="Q154" s="9">
        <v>65203.012769999994</v>
      </c>
      <c r="R154" s="9">
        <v>67191.396310000011</v>
      </c>
      <c r="S154" s="9">
        <v>61937.388229999997</v>
      </c>
      <c r="T154" s="9">
        <v>63693.98863</v>
      </c>
      <c r="U154" s="9">
        <v>65463.107100000001</v>
      </c>
      <c r="V154" s="10">
        <v>67039.816030000002</v>
      </c>
      <c r="W154" s="10">
        <v>68613.743383155786</v>
      </c>
      <c r="X154" s="10">
        <v>70307.610039571256</v>
      </c>
      <c r="Y154" s="10">
        <v>71992.7</v>
      </c>
      <c r="Z154" s="10">
        <v>73618</v>
      </c>
      <c r="AA154" s="10">
        <v>75177</v>
      </c>
      <c r="AB154" s="10">
        <v>64345</v>
      </c>
      <c r="AC154" s="10">
        <v>65684</v>
      </c>
      <c r="AD154" s="10">
        <v>66870</v>
      </c>
      <c r="AE154" s="10">
        <v>66641</v>
      </c>
      <c r="AF154" s="10">
        <v>66402</v>
      </c>
      <c r="AG154" s="10">
        <v>66144</v>
      </c>
      <c r="AH154" s="10">
        <v>37195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</row>
    <row r="155" spans="1:54" s="11" customFormat="1" x14ac:dyDescent="0.25">
      <c r="A155" s="170" t="s">
        <v>117</v>
      </c>
      <c r="B155" s="6">
        <v>27079</v>
      </c>
      <c r="C155" s="6">
        <v>24219</v>
      </c>
      <c r="D155" s="6">
        <v>25434.511450000002</v>
      </c>
      <c r="E155" s="6">
        <v>26304.911219999998</v>
      </c>
      <c r="F155" s="6">
        <v>27007.988570000023</v>
      </c>
      <c r="G155" s="6">
        <v>28040.862230000024</v>
      </c>
      <c r="H155" s="6">
        <v>29360.768189999981</v>
      </c>
      <c r="I155" s="6">
        <v>29660</v>
      </c>
      <c r="J155" s="6">
        <v>30154</v>
      </c>
      <c r="K155" s="6">
        <v>30275.254830000024</v>
      </c>
      <c r="L155" s="6">
        <v>30667.275429632526</v>
      </c>
      <c r="M155" s="6">
        <v>33105.273740000004</v>
      </c>
      <c r="N155" s="6">
        <v>33408.566939999997</v>
      </c>
      <c r="O155" s="6">
        <v>33129.858649999995</v>
      </c>
      <c r="P155" s="6">
        <v>32187.134729999998</v>
      </c>
      <c r="Q155" s="6">
        <v>32315.548699999992</v>
      </c>
      <c r="R155" s="6">
        <v>32755.052190000002</v>
      </c>
      <c r="S155" s="6">
        <v>29594.4211</v>
      </c>
      <c r="T155" s="6">
        <v>30327.572650000002</v>
      </c>
      <c r="U155" s="6">
        <v>30836.977299999995</v>
      </c>
      <c r="V155" s="7">
        <v>31374.807869999997</v>
      </c>
      <c r="W155" s="7">
        <v>31928.827631331413</v>
      </c>
      <c r="X155" s="7">
        <v>32296.786932663887</v>
      </c>
      <c r="Y155" s="7">
        <v>32868.400000000001</v>
      </c>
      <c r="Z155" s="7">
        <v>33307</v>
      </c>
      <c r="AA155" s="7">
        <v>33849</v>
      </c>
      <c r="AB155" s="7">
        <v>29262</v>
      </c>
      <c r="AC155" s="7">
        <v>29727</v>
      </c>
      <c r="AD155" s="7">
        <v>30057</v>
      </c>
      <c r="AE155" s="7">
        <v>29909</v>
      </c>
      <c r="AF155" s="7">
        <v>29521</v>
      </c>
      <c r="AG155" s="7">
        <v>28989</v>
      </c>
      <c r="AH155" s="7">
        <v>15971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</row>
    <row r="156" spans="1:54" s="11" customFormat="1" x14ac:dyDescent="0.25">
      <c r="A156" s="174" t="s">
        <v>262</v>
      </c>
      <c r="B156" s="9"/>
      <c r="C156" s="9">
        <v>0</v>
      </c>
      <c r="D156" s="9">
        <v>0</v>
      </c>
      <c r="E156" s="9" t="s">
        <v>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0</v>
      </c>
      <c r="T156" s="9">
        <v>0</v>
      </c>
      <c r="U156" s="9">
        <v>0</v>
      </c>
      <c r="V156" s="10">
        <v>0</v>
      </c>
      <c r="W156" s="10"/>
      <c r="X156" s="10">
        <v>0</v>
      </c>
      <c r="Y156" s="10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</row>
    <row r="157" spans="1:54" s="11" customFormat="1" x14ac:dyDescent="0.25">
      <c r="A157" s="170" t="s">
        <v>216</v>
      </c>
      <c r="B157" s="6"/>
      <c r="C157" s="6">
        <v>0</v>
      </c>
      <c r="D157" s="6">
        <v>0</v>
      </c>
      <c r="E157" s="6" t="s">
        <v>0</v>
      </c>
      <c r="F157" s="6" t="s">
        <v>0</v>
      </c>
      <c r="G157" s="6" t="s">
        <v>0</v>
      </c>
      <c r="H157" s="6" t="s">
        <v>0</v>
      </c>
      <c r="I157" s="6" t="s">
        <v>0</v>
      </c>
      <c r="J157" s="6" t="s">
        <v>0</v>
      </c>
      <c r="K157" s="6"/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7">
        <v>0</v>
      </c>
      <c r="W157" s="7">
        <v>0</v>
      </c>
      <c r="X157" s="7">
        <v>251326.57103999998</v>
      </c>
      <c r="Y157" s="7">
        <v>279165.7</v>
      </c>
      <c r="Z157" s="7">
        <v>307300</v>
      </c>
      <c r="AA157" s="7">
        <v>336162</v>
      </c>
      <c r="AB157" s="7">
        <v>337168</v>
      </c>
      <c r="AC157" s="7">
        <v>337430</v>
      </c>
      <c r="AD157" s="7">
        <v>338027</v>
      </c>
      <c r="AE157" s="7">
        <v>338821</v>
      </c>
      <c r="AF157" s="7">
        <v>338612</v>
      </c>
      <c r="AG157" s="7">
        <v>338404</v>
      </c>
      <c r="AH157" s="7">
        <v>338617</v>
      </c>
      <c r="AI157" s="7">
        <v>336739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10"/>
    </row>
    <row r="158" spans="1:54" s="11" customFormat="1" x14ac:dyDescent="0.25">
      <c r="A158" s="169" t="s">
        <v>217</v>
      </c>
      <c r="B158" s="9"/>
      <c r="C158" s="9">
        <v>0</v>
      </c>
      <c r="D158" s="9">
        <v>0</v>
      </c>
      <c r="E158" s="9" t="s">
        <v>0</v>
      </c>
      <c r="F158" s="9" t="s">
        <v>0</v>
      </c>
      <c r="G158" s="9" t="s">
        <v>0</v>
      </c>
      <c r="H158" s="9" t="s">
        <v>0</v>
      </c>
      <c r="I158" s="9" t="s">
        <v>0</v>
      </c>
      <c r="J158" s="9" t="s">
        <v>0</v>
      </c>
      <c r="K158" s="9"/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10">
        <v>0</v>
      </c>
      <c r="W158" s="10">
        <v>0</v>
      </c>
      <c r="X158" s="10">
        <v>20929.075459230804</v>
      </c>
      <c r="Y158" s="10">
        <v>20767.7</v>
      </c>
      <c r="Z158" s="10">
        <v>20551</v>
      </c>
      <c r="AA158" s="10">
        <v>20427</v>
      </c>
      <c r="AB158" s="10">
        <v>20333</v>
      </c>
      <c r="AC158" s="10">
        <v>20160</v>
      </c>
      <c r="AD158" s="10">
        <v>19964</v>
      </c>
      <c r="AE158" s="10">
        <v>19874</v>
      </c>
      <c r="AF158" s="10">
        <v>19609</v>
      </c>
      <c r="AG158" s="10">
        <v>19257</v>
      </c>
      <c r="AH158" s="10">
        <v>18673</v>
      </c>
      <c r="AI158" s="10">
        <v>18177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/>
    </row>
    <row r="159" spans="1:54" s="11" customFormat="1" x14ac:dyDescent="0.25">
      <c r="A159" s="175" t="s">
        <v>263</v>
      </c>
      <c r="B159" s="6"/>
      <c r="C159" s="6">
        <v>0</v>
      </c>
      <c r="D159" s="6">
        <v>0</v>
      </c>
      <c r="E159" s="6" t="s">
        <v>0</v>
      </c>
      <c r="F159" s="6" t="s">
        <v>0</v>
      </c>
      <c r="G159" s="6" t="s">
        <v>0</v>
      </c>
      <c r="H159" s="6" t="s">
        <v>0</v>
      </c>
      <c r="I159" s="6" t="s">
        <v>0</v>
      </c>
      <c r="J159" s="6" t="s">
        <v>0</v>
      </c>
      <c r="K159" s="6"/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7">
        <v>0</v>
      </c>
      <c r="W159" s="7">
        <v>0</v>
      </c>
      <c r="X159" s="7">
        <v>102649.74781</v>
      </c>
      <c r="Y159" s="7">
        <v>100328.3</v>
      </c>
      <c r="Z159" s="7">
        <v>123428</v>
      </c>
      <c r="AA159" s="7">
        <v>120484</v>
      </c>
      <c r="AB159" s="7">
        <v>156945</v>
      </c>
      <c r="AC159" s="7">
        <v>152174</v>
      </c>
      <c r="AD159" s="7">
        <v>146519</v>
      </c>
      <c r="AE159" s="7">
        <v>141082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10"/>
    </row>
    <row r="160" spans="1:54" s="11" customFormat="1" x14ac:dyDescent="0.25">
      <c r="A160" s="174" t="s">
        <v>264</v>
      </c>
      <c r="B160" s="9"/>
      <c r="C160" s="9">
        <v>0</v>
      </c>
      <c r="D160" s="9">
        <v>0</v>
      </c>
      <c r="E160" s="9">
        <v>0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>
        <v>0</v>
      </c>
      <c r="T160" s="9">
        <v>0</v>
      </c>
      <c r="U160" s="9">
        <v>0</v>
      </c>
      <c r="V160" s="10">
        <v>0</v>
      </c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>
        <v>0</v>
      </c>
      <c r="BB160" s="10"/>
    </row>
    <row r="161" spans="1:54" s="11" customFormat="1" x14ac:dyDescent="0.25">
      <c r="A161" s="170" t="s">
        <v>118</v>
      </c>
      <c r="B161" s="6">
        <v>101156</v>
      </c>
      <c r="C161" s="6">
        <v>104562</v>
      </c>
      <c r="D161" s="6">
        <v>107868.25159999999</v>
      </c>
      <c r="E161" s="6">
        <v>111113.42549000001</v>
      </c>
      <c r="F161" s="6">
        <v>114291.88176999999</v>
      </c>
      <c r="G161" s="6">
        <v>101855.00644000003</v>
      </c>
      <c r="H161" s="6">
        <v>104658.68556000016</v>
      </c>
      <c r="I161" s="6">
        <v>107524</v>
      </c>
      <c r="J161" s="6">
        <v>110517</v>
      </c>
      <c r="K161" s="6">
        <v>113515.47108000013</v>
      </c>
      <c r="L161" s="6">
        <v>116543.84145000015</v>
      </c>
      <c r="M161" s="6">
        <v>125430.37356000001</v>
      </c>
      <c r="N161" s="6">
        <v>128627.82341000003</v>
      </c>
      <c r="O161" s="6">
        <v>109419.08096000001</v>
      </c>
      <c r="P161" s="6">
        <v>107407.76434000001</v>
      </c>
      <c r="Q161" s="6">
        <v>106917.98431</v>
      </c>
      <c r="R161" s="6">
        <v>109405.59457999999</v>
      </c>
      <c r="S161" s="6">
        <v>111866.81205000002</v>
      </c>
      <c r="T161" s="6">
        <v>114308.90935</v>
      </c>
      <c r="U161" s="6">
        <v>74520.692220000012</v>
      </c>
      <c r="V161" s="7">
        <v>76448.965560000011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>
        <v>0</v>
      </c>
      <c r="BB161" s="10"/>
    </row>
    <row r="162" spans="1:54" s="11" customFormat="1" x14ac:dyDescent="0.25">
      <c r="A162" s="169" t="s">
        <v>119</v>
      </c>
      <c r="B162" s="9">
        <v>58159</v>
      </c>
      <c r="C162" s="9">
        <v>59765</v>
      </c>
      <c r="D162" s="9">
        <v>61659.575270000001</v>
      </c>
      <c r="E162" s="9">
        <v>62736.714869999996</v>
      </c>
      <c r="F162" s="9">
        <v>63446.407079999997</v>
      </c>
      <c r="G162" s="9">
        <v>57587.958789999946</v>
      </c>
      <c r="H162" s="9">
        <v>59518.392070000067</v>
      </c>
      <c r="I162" s="9">
        <v>59404</v>
      </c>
      <c r="J162" s="9">
        <v>59714</v>
      </c>
      <c r="K162" s="9">
        <v>59321.27886000002</v>
      </c>
      <c r="L162" s="9">
        <v>59495.406940260989</v>
      </c>
      <c r="M162" s="9">
        <v>62647.91461</v>
      </c>
      <c r="N162" s="9">
        <v>62666.688739999998</v>
      </c>
      <c r="O162" s="9">
        <v>51826.639470000002</v>
      </c>
      <c r="P162" s="9">
        <v>50271.766799999998</v>
      </c>
      <c r="Q162" s="9">
        <v>50292.655080000004</v>
      </c>
      <c r="R162" s="9">
        <v>50616.592270000008</v>
      </c>
      <c r="S162" s="9">
        <v>51467.323199999999</v>
      </c>
      <c r="T162" s="9">
        <v>52403.069739999999</v>
      </c>
      <c r="U162" s="9">
        <v>34732.665489999999</v>
      </c>
      <c r="V162" s="10">
        <v>35397.540689999994</v>
      </c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>
        <v>0</v>
      </c>
      <c r="BB162" s="10"/>
    </row>
    <row r="163" spans="1:54" s="11" customFormat="1" x14ac:dyDescent="0.25">
      <c r="A163" s="175" t="s">
        <v>28</v>
      </c>
      <c r="B163" s="6"/>
      <c r="C163" s="6">
        <v>0</v>
      </c>
      <c r="D163" s="6">
        <v>0</v>
      </c>
      <c r="E163" s="6">
        <v>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>
        <v>0</v>
      </c>
      <c r="T163" s="6">
        <v>0</v>
      </c>
      <c r="U163" s="6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10"/>
    </row>
    <row r="164" spans="1:54" s="11" customFormat="1" x14ac:dyDescent="0.25">
      <c r="A164" s="169" t="s">
        <v>120</v>
      </c>
      <c r="B164" s="9">
        <v>43646</v>
      </c>
      <c r="C164" s="9">
        <v>42792</v>
      </c>
      <c r="D164" s="9">
        <v>86362.53373000001</v>
      </c>
      <c r="E164" s="9">
        <v>84027.33692999999</v>
      </c>
      <c r="F164" s="9">
        <v>125125.68537000001</v>
      </c>
      <c r="G164" s="9">
        <v>122743.19188</v>
      </c>
      <c r="H164" s="9">
        <v>166183.33904000002</v>
      </c>
      <c r="I164" s="9">
        <v>159116</v>
      </c>
      <c r="J164" s="9">
        <v>196961</v>
      </c>
      <c r="K164" s="9">
        <v>188150.85846000002</v>
      </c>
      <c r="L164" s="9">
        <v>223101.94597999996</v>
      </c>
      <c r="M164" s="9">
        <v>215908.76020000002</v>
      </c>
      <c r="N164" s="9">
        <v>213433.34776</v>
      </c>
      <c r="O164" s="9">
        <v>205854.59113999997</v>
      </c>
      <c r="P164" s="9">
        <v>206468.69295</v>
      </c>
      <c r="Q164" s="9">
        <v>205285.72005999999</v>
      </c>
      <c r="R164" s="9">
        <v>204692.30364000003</v>
      </c>
      <c r="S164" s="9">
        <v>200993.7862</v>
      </c>
      <c r="T164" s="9">
        <v>202581.23222999999</v>
      </c>
      <c r="U164" s="9">
        <v>197260.79850999999</v>
      </c>
      <c r="V164" s="10">
        <v>197964.02116999999</v>
      </c>
      <c r="W164" s="10">
        <v>194182.35147858044</v>
      </c>
      <c r="X164" s="10">
        <v>192918.74230999994</v>
      </c>
      <c r="Y164" s="10">
        <v>189204.80000000002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</row>
    <row r="165" spans="1:54" s="11" customFormat="1" x14ac:dyDescent="0.25">
      <c r="A165" s="170" t="s">
        <v>121</v>
      </c>
      <c r="B165" s="6">
        <v>70475</v>
      </c>
      <c r="C165" s="6">
        <v>69064</v>
      </c>
      <c r="D165" s="6">
        <v>83670.6976</v>
      </c>
      <c r="E165" s="6">
        <v>81369.041089999999</v>
      </c>
      <c r="F165" s="6">
        <v>94289.221640000003</v>
      </c>
      <c r="G165" s="6">
        <v>92448.558679999987</v>
      </c>
      <c r="H165" s="6">
        <v>107336.35467000002</v>
      </c>
      <c r="I165" s="6">
        <v>102721</v>
      </c>
      <c r="J165" s="6">
        <v>101776</v>
      </c>
      <c r="K165" s="6">
        <v>97174.770410000012</v>
      </c>
      <c r="L165" s="6">
        <v>96066.579720000009</v>
      </c>
      <c r="M165" s="6">
        <v>92923.676569999996</v>
      </c>
      <c r="N165" s="6">
        <v>91906.23576000001</v>
      </c>
      <c r="O165" s="6">
        <v>88598.624120000008</v>
      </c>
      <c r="P165" s="6">
        <v>88904.384319999997</v>
      </c>
      <c r="Q165" s="6">
        <v>88352.388489999983</v>
      </c>
      <c r="R165" s="6">
        <v>88143.660480000006</v>
      </c>
      <c r="S165" s="6">
        <v>86507.245710000003</v>
      </c>
      <c r="T165" s="6">
        <v>87230.494780000008</v>
      </c>
      <c r="U165" s="6">
        <v>84897.851919999986</v>
      </c>
      <c r="V165" s="7">
        <v>85243.60407999999</v>
      </c>
      <c r="W165" s="7">
        <v>83574.297649185231</v>
      </c>
      <c r="X165" s="7">
        <v>83058.681079999995</v>
      </c>
      <c r="Y165" s="7">
        <v>81419.100000000006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10"/>
    </row>
    <row r="166" spans="1:54" s="11" customFormat="1" x14ac:dyDescent="0.25">
      <c r="A166" s="174" t="s">
        <v>30</v>
      </c>
      <c r="B166" s="9"/>
      <c r="C166" s="9">
        <v>0</v>
      </c>
      <c r="D166" s="9">
        <v>0</v>
      </c>
      <c r="E166" s="9">
        <v>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>
        <v>0</v>
      </c>
      <c r="T166" s="9">
        <v>0</v>
      </c>
      <c r="U166" s="9">
        <v>0</v>
      </c>
      <c r="V166" s="10">
        <v>0</v>
      </c>
      <c r="W166" s="10">
        <v>0</v>
      </c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>
        <v>0</v>
      </c>
    </row>
    <row r="167" spans="1:54" s="11" customFormat="1" x14ac:dyDescent="0.25">
      <c r="A167" s="170" t="s">
        <v>219</v>
      </c>
      <c r="B167" s="6"/>
      <c r="C167" s="6">
        <v>0</v>
      </c>
      <c r="D167" s="6">
        <v>0</v>
      </c>
      <c r="E167" s="6">
        <v>0</v>
      </c>
      <c r="F167" s="6" t="s">
        <v>0</v>
      </c>
      <c r="G167" s="6">
        <v>278192.32555000001</v>
      </c>
      <c r="H167" s="6" t="s">
        <v>0</v>
      </c>
      <c r="I167" s="6" t="s">
        <v>0</v>
      </c>
      <c r="J167" s="6" t="s">
        <v>0</v>
      </c>
      <c r="K167" s="6">
        <v>0</v>
      </c>
      <c r="L167" s="6">
        <v>93781.671959999992</v>
      </c>
      <c r="M167" s="6">
        <v>93003.869310000009</v>
      </c>
      <c r="N167" s="6">
        <v>93484.633130000002</v>
      </c>
      <c r="O167" s="6">
        <v>93015.576690000002</v>
      </c>
      <c r="P167" s="6">
        <v>94174.227400000003</v>
      </c>
      <c r="Q167" s="6">
        <v>93434.253769999996</v>
      </c>
      <c r="R167" s="6">
        <v>95105.905939999997</v>
      </c>
      <c r="S167" s="6">
        <v>93857.997310000006</v>
      </c>
      <c r="T167" s="6">
        <v>95394.960349999994</v>
      </c>
      <c r="U167" s="6">
        <v>93851.156789999994</v>
      </c>
      <c r="V167" s="7">
        <v>95242.709990000003</v>
      </c>
      <c r="W167" s="7">
        <v>93701.407699999996</v>
      </c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>
        <v>0</v>
      </c>
      <c r="BB167" s="10"/>
    </row>
    <row r="168" spans="1:54" s="11" customFormat="1" ht="15" customHeight="1" x14ac:dyDescent="0.25">
      <c r="A168" s="169" t="s">
        <v>122</v>
      </c>
      <c r="B168" s="9"/>
      <c r="C168" s="9">
        <v>0</v>
      </c>
      <c r="D168" s="9">
        <v>143794.78531000001</v>
      </c>
      <c r="E168" s="9">
        <v>138978.31640000001</v>
      </c>
      <c r="F168" s="9">
        <v>287994.23501</v>
      </c>
      <c r="G168" s="9">
        <v>86419.225359999997</v>
      </c>
      <c r="H168" s="9">
        <v>427326.83720000001</v>
      </c>
      <c r="I168" s="9">
        <v>414070</v>
      </c>
      <c r="J168" s="9">
        <v>557276</v>
      </c>
      <c r="K168" s="9">
        <v>546200.96295000007</v>
      </c>
      <c r="L168" s="9">
        <v>547092.08486000006</v>
      </c>
      <c r="M168" s="9">
        <v>542423.62520000001</v>
      </c>
      <c r="N168" s="9">
        <v>545309.09401999996</v>
      </c>
      <c r="O168" s="9">
        <v>542493.88626000006</v>
      </c>
      <c r="P168" s="9">
        <v>549448.67021000001</v>
      </c>
      <c r="Q168" s="9">
        <v>545006.69807000004</v>
      </c>
      <c r="R168" s="9">
        <v>555042.84484000003</v>
      </c>
      <c r="S168" s="9">
        <v>547550.24543999997</v>
      </c>
      <c r="T168" s="9">
        <v>556778.76217999996</v>
      </c>
      <c r="U168" s="9">
        <v>547509.18030000001</v>
      </c>
      <c r="V168" s="10">
        <v>555864.39876000001</v>
      </c>
      <c r="W168" s="10">
        <v>546610.26395000005</v>
      </c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>
        <v>0</v>
      </c>
      <c r="BB168" s="10"/>
    </row>
    <row r="169" spans="1:54" s="11" customFormat="1" x14ac:dyDescent="0.25">
      <c r="A169" s="170" t="s">
        <v>123</v>
      </c>
      <c r="B169" s="6">
        <v>61651</v>
      </c>
      <c r="C169" s="6">
        <v>60247</v>
      </c>
      <c r="D169" s="6">
        <v>76244.818310000002</v>
      </c>
      <c r="E169" s="6">
        <v>73939.693039999998</v>
      </c>
      <c r="F169" s="6">
        <v>88391.549949999986</v>
      </c>
      <c r="G169" s="6" t="s">
        <v>0</v>
      </c>
      <c r="H169" s="6">
        <v>88032.628079999995</v>
      </c>
      <c r="I169" s="6">
        <v>84008</v>
      </c>
      <c r="J169" s="6">
        <v>83487</v>
      </c>
      <c r="K169" s="6">
        <v>79482.551560000022</v>
      </c>
      <c r="L169" s="6">
        <v>78789.646899999992</v>
      </c>
      <c r="M169" s="6">
        <v>75994.950369999991</v>
      </c>
      <c r="N169" s="6">
        <v>75391.382220000014</v>
      </c>
      <c r="O169" s="6">
        <v>72467.829690000013</v>
      </c>
      <c r="P169" s="6">
        <v>72915.524519999992</v>
      </c>
      <c r="Q169" s="6">
        <v>72259.777660000007</v>
      </c>
      <c r="R169" s="6">
        <v>72311.56485000001</v>
      </c>
      <c r="S169" s="6">
        <v>70760.475090000007</v>
      </c>
      <c r="T169" s="6">
        <v>71655.028549999988</v>
      </c>
      <c r="U169" s="6">
        <v>69541.991130000009</v>
      </c>
      <c r="V169" s="7">
        <v>69892.523640000014</v>
      </c>
      <c r="W169" s="7">
        <v>68326.289934979111</v>
      </c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>
        <v>0</v>
      </c>
      <c r="BB169" s="10"/>
    </row>
    <row r="170" spans="1:54" s="11" customFormat="1" x14ac:dyDescent="0.25">
      <c r="A170" s="174" t="s">
        <v>253</v>
      </c>
      <c r="B170" s="9"/>
      <c r="C170" s="9">
        <v>0</v>
      </c>
      <c r="D170" s="9">
        <v>0</v>
      </c>
      <c r="E170" s="9">
        <v>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>
        <v>0</v>
      </c>
    </row>
    <row r="171" spans="1:54" s="11" customFormat="1" ht="15" customHeight="1" x14ac:dyDescent="0.25">
      <c r="A171" s="170" t="s">
        <v>124</v>
      </c>
      <c r="B171" s="6">
        <v>9645</v>
      </c>
      <c r="C171" s="177">
        <v>14367</v>
      </c>
      <c r="D171" s="177">
        <v>19096.892209999998</v>
      </c>
      <c r="E171" s="177">
        <v>23827.127060000003</v>
      </c>
      <c r="F171" s="177">
        <v>28531.689429999999</v>
      </c>
      <c r="G171" s="6">
        <v>33249.067049999998</v>
      </c>
      <c r="H171" s="6">
        <v>37938.222780000011</v>
      </c>
      <c r="I171" s="6">
        <v>42665</v>
      </c>
      <c r="J171" s="6">
        <v>47330</v>
      </c>
      <c r="K171" s="6">
        <v>51941.548630000005</v>
      </c>
      <c r="L171" s="6">
        <v>56603.104230000012</v>
      </c>
      <c r="M171" s="6">
        <v>56569.503700000001</v>
      </c>
      <c r="N171" s="6">
        <v>56549.295700000002</v>
      </c>
      <c r="O171" s="6">
        <v>56549.295700000002</v>
      </c>
      <c r="P171" s="6">
        <v>56560.945</v>
      </c>
      <c r="Q171" s="6">
        <v>56597.371729999999</v>
      </c>
      <c r="R171" s="6">
        <v>56602.571900000003</v>
      </c>
      <c r="S171" s="6">
        <v>56628.691930000001</v>
      </c>
      <c r="T171" s="6">
        <v>56500</v>
      </c>
      <c r="U171" s="6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>
        <v>0</v>
      </c>
      <c r="BB171" s="10"/>
    </row>
    <row r="172" spans="1:54" s="11" customFormat="1" ht="15" customHeight="1" x14ac:dyDescent="0.25">
      <c r="A172" s="169" t="s">
        <v>125</v>
      </c>
      <c r="B172" s="9">
        <v>115228</v>
      </c>
      <c r="C172" s="9">
        <v>138721</v>
      </c>
      <c r="D172" s="9">
        <v>136876.48450999998</v>
      </c>
      <c r="E172" s="9">
        <v>158904.16284999999</v>
      </c>
      <c r="F172" s="9">
        <v>154152.90650000001</v>
      </c>
      <c r="G172" s="9">
        <v>176814.05874000001</v>
      </c>
      <c r="H172" s="9">
        <v>175561.65443</v>
      </c>
      <c r="I172" s="9">
        <v>171980</v>
      </c>
      <c r="J172" s="9">
        <v>166386</v>
      </c>
      <c r="K172" s="9">
        <v>162648.76931000003</v>
      </c>
      <c r="L172" s="9">
        <v>157154.82107000001</v>
      </c>
      <c r="M172" s="9">
        <v>155524.61288</v>
      </c>
      <c r="N172" s="9">
        <v>150226.33598</v>
      </c>
      <c r="O172" s="9">
        <v>148294.22413000002</v>
      </c>
      <c r="P172" s="9">
        <v>145438.22268000001</v>
      </c>
      <c r="Q172" s="9">
        <v>147843.57914999998</v>
      </c>
      <c r="R172" s="9">
        <v>143993.36451000001</v>
      </c>
      <c r="S172" s="9">
        <v>144570.84548000002</v>
      </c>
      <c r="T172" s="9">
        <v>142626.74135</v>
      </c>
      <c r="U172" s="9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>
        <v>0</v>
      </c>
      <c r="BB172" s="10"/>
    </row>
    <row r="173" spans="1:54" s="11" customFormat="1" ht="15" customHeight="1" x14ac:dyDescent="0.25">
      <c r="A173" s="175" t="s">
        <v>64</v>
      </c>
      <c r="B173" s="6"/>
      <c r="C173" s="6">
        <v>0</v>
      </c>
      <c r="D173" s="6">
        <v>0</v>
      </c>
      <c r="E173" s="6">
        <v>0</v>
      </c>
      <c r="F173" s="6">
        <v>0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>
        <v>0</v>
      </c>
      <c r="BB173" s="10"/>
    </row>
    <row r="174" spans="1:54" s="11" customFormat="1" ht="15" customHeight="1" x14ac:dyDescent="0.25">
      <c r="A174" s="169" t="s">
        <v>126</v>
      </c>
      <c r="B174" s="9">
        <v>308941</v>
      </c>
      <c r="C174" s="9">
        <v>347864</v>
      </c>
      <c r="D174" s="9">
        <v>386839.67604000005</v>
      </c>
      <c r="E174" s="9">
        <v>425769.02671999997</v>
      </c>
      <c r="F174" s="9">
        <v>464207.39603999996</v>
      </c>
      <c r="G174" s="9">
        <v>502891.30379999994</v>
      </c>
      <c r="H174" s="9">
        <v>502522.28389999992</v>
      </c>
      <c r="I174" s="9">
        <v>502774</v>
      </c>
      <c r="J174" s="9">
        <v>502295</v>
      </c>
      <c r="K174" s="9">
        <v>501436.56367999996</v>
      </c>
      <c r="L174" s="9">
        <v>501137.95766999992</v>
      </c>
      <c r="M174" s="9">
        <v>500921.23084999999</v>
      </c>
      <c r="N174" s="9">
        <v>500574.46296999999</v>
      </c>
      <c r="O174" s="9">
        <v>0</v>
      </c>
      <c r="P174" s="9"/>
      <c r="Q174" s="9"/>
      <c r="R174" s="9"/>
      <c r="S174" s="9"/>
      <c r="T174" s="9"/>
      <c r="U174" s="9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>
        <v>0</v>
      </c>
      <c r="BB174" s="10"/>
    </row>
    <row r="175" spans="1:54" s="11" customFormat="1" ht="15" customHeight="1" x14ac:dyDescent="0.25">
      <c r="A175" s="178" t="s">
        <v>71</v>
      </c>
      <c r="B175" s="179"/>
      <c r="C175" s="179">
        <v>0</v>
      </c>
      <c r="D175" s="179">
        <v>0</v>
      </c>
      <c r="E175" s="179">
        <v>0</v>
      </c>
      <c r="F175" s="179">
        <v>0</v>
      </c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0"/>
    </row>
    <row r="176" spans="1:54" s="11" customFormat="1" ht="15" customHeight="1" x14ac:dyDescent="0.25">
      <c r="A176" s="169" t="s">
        <v>127</v>
      </c>
      <c r="B176" s="9">
        <v>281960</v>
      </c>
      <c r="C176" s="9">
        <v>276340</v>
      </c>
      <c r="D176" s="9">
        <v>286222.29944999999</v>
      </c>
      <c r="E176" s="9">
        <v>278376.34174</v>
      </c>
      <c r="F176" s="9">
        <v>269453.81179000001</v>
      </c>
      <c r="G176" s="9">
        <v>264220.29929999996</v>
      </c>
      <c r="H176" s="9">
        <v>274882.69117000001</v>
      </c>
      <c r="I176" s="9">
        <v>263090</v>
      </c>
      <c r="J176" s="9">
        <v>253977</v>
      </c>
      <c r="K176" s="9">
        <v>243856.33136000001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</row>
    <row r="177" spans="1:54" s="11" customFormat="1" ht="15" customHeight="1" x14ac:dyDescent="0.25">
      <c r="A177" s="181" t="s">
        <v>128</v>
      </c>
      <c r="B177" s="179">
        <v>430205</v>
      </c>
      <c r="C177" s="179">
        <v>469743</v>
      </c>
      <c r="D177" s="179">
        <v>509315.20536999998</v>
      </c>
      <c r="E177" s="179">
        <v>509599.99537000002</v>
      </c>
      <c r="F177" s="179">
        <v>509315.20536999998</v>
      </c>
      <c r="G177" s="179">
        <v>509315.20536999998</v>
      </c>
      <c r="H177" s="179">
        <v>508932.57438000001</v>
      </c>
      <c r="I177" s="179">
        <v>509133</v>
      </c>
      <c r="J177" s="179">
        <v>508621</v>
      </c>
      <c r="K177" s="179">
        <v>506338.85125000001</v>
      </c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0"/>
    </row>
    <row r="178" spans="1:54" s="11" customFormat="1" ht="15" customHeight="1" x14ac:dyDescent="0.25">
      <c r="A178" s="169" t="s">
        <v>138</v>
      </c>
      <c r="B178" s="9"/>
      <c r="C178" s="9">
        <v>0</v>
      </c>
      <c r="D178" s="9">
        <v>0</v>
      </c>
      <c r="E178" s="9">
        <v>0</v>
      </c>
      <c r="F178" s="9">
        <v>0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</row>
    <row r="179" spans="1:54" s="237" customFormat="1" ht="15" customHeight="1" x14ac:dyDescent="0.25">
      <c r="A179" s="181" t="s">
        <v>137</v>
      </c>
      <c r="B179" s="179">
        <v>752937</v>
      </c>
      <c r="C179" s="179">
        <v>753585</v>
      </c>
      <c r="D179" s="179">
        <v>754204.28748000006</v>
      </c>
      <c r="E179" s="179">
        <v>754626.01029999997</v>
      </c>
      <c r="F179" s="179">
        <v>753361.54874999984</v>
      </c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236"/>
    </row>
    <row r="180" spans="1:54" s="237" customFormat="1" ht="15" customHeight="1" x14ac:dyDescent="0.25">
      <c r="A180" s="234" t="s">
        <v>408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</row>
    <row r="181" spans="1:54" s="237" customFormat="1" ht="15" customHeight="1" x14ac:dyDescent="0.25">
      <c r="A181" s="181" t="s">
        <v>409</v>
      </c>
      <c r="B181" s="179">
        <v>114123</v>
      </c>
      <c r="C181" s="179">
        <v>113685.10270999999</v>
      </c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236"/>
    </row>
    <row r="182" spans="1:54" s="237" customFormat="1" ht="15" customHeight="1" x14ac:dyDescent="0.25">
      <c r="A182" s="234" t="s">
        <v>410</v>
      </c>
      <c r="B182" s="235">
        <v>793540</v>
      </c>
      <c r="C182" s="235">
        <v>786802.15027999994</v>
      </c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</row>
    <row r="183" spans="1:54" s="11" customFormat="1" ht="15" customHeight="1" x14ac:dyDescent="0.25">
      <c r="A183" s="178" t="s">
        <v>76</v>
      </c>
      <c r="B183" s="179"/>
      <c r="C183" s="179">
        <v>0</v>
      </c>
      <c r="D183" s="179">
        <v>0</v>
      </c>
      <c r="E183" s="179" t="s">
        <v>0</v>
      </c>
      <c r="F183" s="179" t="s">
        <v>0</v>
      </c>
      <c r="G183" s="179" t="s">
        <v>0</v>
      </c>
      <c r="H183" s="179" t="s">
        <v>0</v>
      </c>
      <c r="I183" s="179" t="s">
        <v>0</v>
      </c>
      <c r="J183" s="179" t="s">
        <v>0</v>
      </c>
      <c r="K183" s="179"/>
      <c r="L183" s="179">
        <v>0</v>
      </c>
      <c r="M183" s="179">
        <v>0</v>
      </c>
      <c r="N183" s="179">
        <v>0</v>
      </c>
      <c r="O183" s="179">
        <v>0</v>
      </c>
      <c r="P183" s="179">
        <v>0</v>
      </c>
      <c r="Q183" s="179">
        <v>0</v>
      </c>
      <c r="R183" s="179">
        <v>0</v>
      </c>
      <c r="S183" s="179">
        <v>0</v>
      </c>
      <c r="T183" s="179">
        <v>0</v>
      </c>
      <c r="U183" s="179">
        <v>0</v>
      </c>
      <c r="V183" s="180">
        <v>0</v>
      </c>
      <c r="W183" s="180">
        <v>4412.60671</v>
      </c>
      <c r="X183" s="180">
        <v>4652.9327099999991</v>
      </c>
      <c r="Y183" s="180">
        <v>4928.3999999999996</v>
      </c>
      <c r="Z183" s="180">
        <v>4718</v>
      </c>
      <c r="AA183" s="180">
        <v>2981</v>
      </c>
      <c r="AB183" s="180">
        <v>2482</v>
      </c>
      <c r="AC183" s="180">
        <v>2237</v>
      </c>
      <c r="AD183" s="180">
        <v>1116</v>
      </c>
      <c r="AE183" s="180">
        <v>0</v>
      </c>
      <c r="AF183" s="180">
        <v>0</v>
      </c>
      <c r="AG183" s="180">
        <v>0</v>
      </c>
      <c r="AH183" s="180">
        <v>0</v>
      </c>
      <c r="AI183" s="180">
        <v>0</v>
      </c>
      <c r="AJ183" s="180">
        <v>0</v>
      </c>
      <c r="AK183" s="180">
        <v>0</v>
      </c>
      <c r="AL183" s="180">
        <v>0</v>
      </c>
      <c r="AM183" s="180">
        <v>0</v>
      </c>
      <c r="AN183" s="180">
        <v>0</v>
      </c>
      <c r="AO183" s="180">
        <v>0</v>
      </c>
      <c r="AP183" s="180">
        <v>0</v>
      </c>
      <c r="AQ183" s="180">
        <v>0</v>
      </c>
      <c r="AR183" s="180">
        <v>0</v>
      </c>
      <c r="AS183" s="180">
        <v>0</v>
      </c>
      <c r="AT183" s="180">
        <v>0</v>
      </c>
      <c r="AU183" s="180">
        <v>0</v>
      </c>
      <c r="AV183" s="180">
        <v>0</v>
      </c>
      <c r="AW183" s="180">
        <v>0</v>
      </c>
      <c r="AX183" s="180">
        <v>0</v>
      </c>
      <c r="AY183" s="180">
        <v>0</v>
      </c>
      <c r="AZ183" s="180">
        <v>0</v>
      </c>
      <c r="BA183" s="180">
        <v>0</v>
      </c>
      <c r="BB183" s="10"/>
    </row>
    <row r="184" spans="1:54" s="237" customFormat="1" ht="15" customHeight="1" x14ac:dyDescent="0.25">
      <c r="A184" s="238" t="s">
        <v>75</v>
      </c>
      <c r="B184" s="235"/>
      <c r="C184" s="235" t="s">
        <v>0</v>
      </c>
      <c r="D184" s="235">
        <v>0</v>
      </c>
      <c r="E184" s="235" t="s">
        <v>0</v>
      </c>
      <c r="F184" s="235" t="s">
        <v>0</v>
      </c>
      <c r="G184" s="235" t="s">
        <v>0</v>
      </c>
      <c r="H184" s="235" t="s">
        <v>0</v>
      </c>
      <c r="I184" s="235" t="s">
        <v>0</v>
      </c>
      <c r="J184" s="235" t="s">
        <v>0</v>
      </c>
      <c r="K184" s="235"/>
      <c r="L184" s="235">
        <v>0</v>
      </c>
      <c r="M184" s="235">
        <v>0</v>
      </c>
      <c r="N184" s="235">
        <v>0</v>
      </c>
      <c r="O184" s="235">
        <v>0</v>
      </c>
      <c r="P184" s="235">
        <v>0</v>
      </c>
      <c r="Q184" s="235">
        <v>0</v>
      </c>
      <c r="R184" s="235">
        <v>0</v>
      </c>
      <c r="S184" s="235">
        <v>0</v>
      </c>
      <c r="T184" s="235">
        <v>0</v>
      </c>
      <c r="U184" s="235">
        <v>0</v>
      </c>
      <c r="V184" s="236">
        <v>0</v>
      </c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>
        <v>0</v>
      </c>
      <c r="BB184" s="236"/>
    </row>
    <row r="185" spans="1:54" s="11" customFormat="1" ht="15" customHeight="1" x14ac:dyDescent="0.25">
      <c r="A185" s="178" t="s">
        <v>74</v>
      </c>
      <c r="B185" s="179"/>
      <c r="C185" s="179" t="s">
        <v>0</v>
      </c>
      <c r="D185" s="179">
        <v>0</v>
      </c>
      <c r="E185" s="179" t="s">
        <v>0</v>
      </c>
      <c r="F185" s="179" t="s">
        <v>0</v>
      </c>
      <c r="G185" s="179" t="s">
        <v>0</v>
      </c>
      <c r="H185" s="179" t="s">
        <v>0</v>
      </c>
      <c r="I185" s="179" t="s">
        <v>0</v>
      </c>
      <c r="J185" s="179" t="s">
        <v>0</v>
      </c>
      <c r="K185" s="179"/>
      <c r="L185" s="179">
        <v>0</v>
      </c>
      <c r="M185" s="179">
        <v>0</v>
      </c>
      <c r="N185" s="179">
        <v>0</v>
      </c>
      <c r="O185" s="179">
        <v>0</v>
      </c>
      <c r="P185" s="179">
        <v>0</v>
      </c>
      <c r="Q185" s="179">
        <v>0</v>
      </c>
      <c r="R185" s="179">
        <v>0</v>
      </c>
      <c r="S185" s="179">
        <v>0</v>
      </c>
      <c r="T185" s="179">
        <v>0</v>
      </c>
      <c r="U185" s="179">
        <v>0</v>
      </c>
      <c r="V185" s="180">
        <v>0</v>
      </c>
      <c r="W185" s="180">
        <v>0</v>
      </c>
      <c r="X185" s="180">
        <v>0</v>
      </c>
      <c r="Y185" s="180">
        <v>0</v>
      </c>
      <c r="Z185" s="180">
        <v>0</v>
      </c>
      <c r="AA185" s="180">
        <v>0</v>
      </c>
      <c r="AB185" s="180">
        <v>0</v>
      </c>
      <c r="AC185" s="180">
        <v>0</v>
      </c>
      <c r="AD185" s="180">
        <v>0</v>
      </c>
      <c r="AE185" s="180">
        <v>0</v>
      </c>
      <c r="AF185" s="180">
        <v>0</v>
      </c>
      <c r="AG185" s="180">
        <v>0</v>
      </c>
      <c r="AH185" s="180">
        <v>0</v>
      </c>
      <c r="AI185" s="180">
        <v>0</v>
      </c>
      <c r="AJ185" s="180">
        <v>0</v>
      </c>
      <c r="AK185" s="180">
        <v>0</v>
      </c>
      <c r="AL185" s="180">
        <v>0</v>
      </c>
      <c r="AM185" s="180">
        <v>0</v>
      </c>
      <c r="AN185" s="180">
        <v>0</v>
      </c>
      <c r="AO185" s="180">
        <v>0</v>
      </c>
      <c r="AP185" s="180">
        <v>0</v>
      </c>
      <c r="AQ185" s="180">
        <v>0</v>
      </c>
      <c r="AR185" s="180">
        <v>0</v>
      </c>
      <c r="AS185" s="180">
        <v>0</v>
      </c>
      <c r="AT185" s="180">
        <v>0</v>
      </c>
      <c r="AU185" s="180">
        <v>0</v>
      </c>
      <c r="AV185" s="180">
        <v>6817</v>
      </c>
      <c r="AW185" s="180">
        <v>13094</v>
      </c>
      <c r="AX185" s="180">
        <v>19228</v>
      </c>
      <c r="AY185" s="180">
        <v>25020</v>
      </c>
      <c r="AZ185" s="180">
        <v>30504</v>
      </c>
      <c r="BA185" s="180">
        <v>35805</v>
      </c>
      <c r="BB185" s="10"/>
    </row>
    <row r="186" spans="1:54" s="237" customFormat="1" ht="15" customHeight="1" x14ac:dyDescent="0.25">
      <c r="A186" s="238" t="s">
        <v>113</v>
      </c>
      <c r="B186" s="235"/>
      <c r="C186" s="235" t="s">
        <v>0</v>
      </c>
      <c r="D186" s="235">
        <v>0</v>
      </c>
      <c r="E186" s="235" t="s">
        <v>0</v>
      </c>
      <c r="F186" s="235" t="s">
        <v>0</v>
      </c>
      <c r="G186" s="235" t="s">
        <v>0</v>
      </c>
      <c r="H186" s="235" t="s">
        <v>0</v>
      </c>
      <c r="I186" s="235" t="s">
        <v>0</v>
      </c>
      <c r="J186" s="235" t="s">
        <v>0</v>
      </c>
      <c r="K186" s="235">
        <v>913.12828000000002</v>
      </c>
      <c r="L186" s="235">
        <v>2224.9320100000004</v>
      </c>
      <c r="M186" s="235">
        <v>3487.5745999999999</v>
      </c>
      <c r="N186" s="235">
        <v>4669.3251600000003</v>
      </c>
      <c r="O186" s="235">
        <v>11229.58064</v>
      </c>
      <c r="P186" s="235">
        <v>17657.421329999997</v>
      </c>
      <c r="Q186" s="235">
        <v>24134.156590000002</v>
      </c>
      <c r="R186" s="235">
        <v>30001.46515</v>
      </c>
      <c r="S186" s="235">
        <v>36055.266239999997</v>
      </c>
      <c r="T186" s="235">
        <v>42056.30227</v>
      </c>
      <c r="U186" s="235">
        <v>47300.313559999995</v>
      </c>
      <c r="V186" s="236">
        <v>52713.069349999998</v>
      </c>
      <c r="W186" s="236">
        <v>58149.130349999992</v>
      </c>
      <c r="X186" s="236">
        <v>62666.091249999998</v>
      </c>
      <c r="Y186" s="236">
        <v>67705.600000000006</v>
      </c>
      <c r="Z186" s="236">
        <v>72599</v>
      </c>
      <c r="AA186" s="236">
        <v>77512</v>
      </c>
      <c r="AB186" s="236">
        <v>82766</v>
      </c>
      <c r="AC186" s="236">
        <v>87271</v>
      </c>
      <c r="AD186" s="236">
        <v>91593</v>
      </c>
      <c r="AE186" s="236">
        <v>96214</v>
      </c>
      <c r="AF186" s="236">
        <v>99515</v>
      </c>
      <c r="AG186" s="236">
        <v>102155</v>
      </c>
      <c r="AH186" s="236">
        <v>103213</v>
      </c>
      <c r="AI186" s="236">
        <v>105296</v>
      </c>
      <c r="AJ186" s="236">
        <v>107633</v>
      </c>
      <c r="AK186" s="236">
        <v>108216</v>
      </c>
      <c r="AL186" s="236">
        <v>108763</v>
      </c>
      <c r="AM186" s="236">
        <v>111093</v>
      </c>
      <c r="AN186" s="236">
        <v>114036</v>
      </c>
      <c r="AO186" s="236">
        <v>115118</v>
      </c>
      <c r="AP186" s="236">
        <v>116159</v>
      </c>
      <c r="AQ186" s="236">
        <v>118188</v>
      </c>
      <c r="AR186" s="236">
        <v>121094</v>
      </c>
      <c r="AS186" s="236">
        <v>122809</v>
      </c>
      <c r="AT186" s="236">
        <v>122941</v>
      </c>
      <c r="AU186" s="236">
        <v>123730</v>
      </c>
      <c r="AV186" s="236">
        <v>125281</v>
      </c>
      <c r="AW186" s="236">
        <v>126537</v>
      </c>
      <c r="AX186" s="236">
        <v>127566</v>
      </c>
      <c r="AY186" s="236">
        <v>132203</v>
      </c>
      <c r="AZ186" s="236">
        <v>134118</v>
      </c>
      <c r="BA186" s="236">
        <v>133858</v>
      </c>
      <c r="BB186" s="236"/>
    </row>
    <row r="187" spans="1:54" s="11" customFormat="1" ht="15" customHeight="1" x14ac:dyDescent="0.25">
      <c r="A187" s="233"/>
      <c r="B187" s="346"/>
      <c r="C187" s="233"/>
      <c r="D187" s="233"/>
      <c r="E187" s="233"/>
      <c r="F187" s="233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0"/>
    </row>
    <row r="188" spans="1:54" s="13" customFormat="1" x14ac:dyDescent="0.25">
      <c r="A188" s="164" t="s">
        <v>244</v>
      </c>
      <c r="B188" s="165">
        <f>SUM(B132:B187)</f>
        <v>4097339</v>
      </c>
      <c r="C188" s="164">
        <v>4194532.1106899995</v>
      </c>
      <c r="D188" s="165">
        <v>3615287.5193700003</v>
      </c>
      <c r="E188" s="165">
        <f>SUM(E132:E187)</f>
        <v>3689852.2371899998</v>
      </c>
      <c r="F188" s="165">
        <v>3959290.7195700002</v>
      </c>
      <c r="G188" s="165">
        <v>3245749.2829800001</v>
      </c>
      <c r="H188" s="165">
        <v>3562587.9894999997</v>
      </c>
      <c r="I188" s="165">
        <v>3562265</v>
      </c>
      <c r="J188" s="165">
        <v>3767373</v>
      </c>
      <c r="K188" s="165">
        <v>3770992.0737700001</v>
      </c>
      <c r="L188" s="165">
        <v>3251300.0975194173</v>
      </c>
      <c r="M188" s="165">
        <v>3409396.3807799993</v>
      </c>
      <c r="N188" s="165">
        <v>3452074.3195400001</v>
      </c>
      <c r="O188" s="165">
        <v>2943449.6107799998</v>
      </c>
      <c r="P188" s="165">
        <v>2941702.2770500001</v>
      </c>
      <c r="Q188" s="165">
        <v>2990257.3462799992</v>
      </c>
      <c r="R188" s="165">
        <v>3043865.1902600005</v>
      </c>
      <c r="S188" s="165">
        <v>3075071.6530800005</v>
      </c>
      <c r="T188" s="165">
        <v>3200121.042559999</v>
      </c>
      <c r="U188" s="165">
        <v>3140463.30455</v>
      </c>
      <c r="V188" s="192">
        <v>3257359.4401099999</v>
      </c>
      <c r="W188" s="192">
        <v>3171131.2634316767</v>
      </c>
      <c r="X188" s="192">
        <v>2917417.5121256043</v>
      </c>
      <c r="Y188" s="192">
        <v>3018084.1</v>
      </c>
      <c r="Z188" s="192">
        <v>2889417</v>
      </c>
      <c r="AA188" s="192">
        <v>2941071</v>
      </c>
      <c r="AB188" s="192">
        <v>3053352</v>
      </c>
      <c r="AC188" s="192">
        <v>3114919</v>
      </c>
      <c r="AD188" s="192">
        <v>3214725</v>
      </c>
      <c r="AE188" s="192">
        <v>3228484</v>
      </c>
      <c r="AF188" s="192">
        <v>3190220</v>
      </c>
      <c r="AG188" s="192">
        <v>3221731</v>
      </c>
      <c r="AH188" s="192">
        <v>3283561</v>
      </c>
      <c r="AI188" s="192">
        <v>3403662</v>
      </c>
      <c r="AJ188" s="192">
        <v>3163012</v>
      </c>
      <c r="AK188" s="192">
        <v>3193397</v>
      </c>
      <c r="AL188" s="192">
        <v>3256671</v>
      </c>
      <c r="AM188" s="192">
        <v>3069808</v>
      </c>
      <c r="AN188" s="192">
        <v>3154480</v>
      </c>
      <c r="AO188" s="192">
        <v>3035311</v>
      </c>
      <c r="AP188" s="192">
        <v>3145092</v>
      </c>
      <c r="AQ188" s="192">
        <v>3030016</v>
      </c>
      <c r="AR188" s="192">
        <v>3097112</v>
      </c>
      <c r="AS188" s="192">
        <v>3069264</v>
      </c>
      <c r="AT188" s="192">
        <v>3119930</v>
      </c>
      <c r="AU188" s="192">
        <v>3066760</v>
      </c>
      <c r="AV188" s="192">
        <v>3107795</v>
      </c>
      <c r="AW188" s="192">
        <v>3290895</v>
      </c>
      <c r="AX188" s="192">
        <v>2897149</v>
      </c>
      <c r="AY188" s="192">
        <v>2536174</v>
      </c>
      <c r="AZ188" s="192">
        <v>2369404</v>
      </c>
      <c r="BA188" s="192">
        <v>2264065.1119999997</v>
      </c>
    </row>
    <row r="189" spans="1:54" s="11" customFormat="1" x14ac:dyDescent="0.25">
      <c r="B189" s="9"/>
      <c r="D189" s="9"/>
      <c r="E189" s="9"/>
      <c r="F189" s="9"/>
      <c r="G189" s="9"/>
      <c r="H189" s="9"/>
      <c r="I189" s="9"/>
      <c r="R189" s="9"/>
      <c r="S189" s="9"/>
      <c r="T189" s="9"/>
      <c r="U189" s="9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4" s="13" customFormat="1" x14ac:dyDescent="0.25">
      <c r="A190" s="164" t="s">
        <v>245</v>
      </c>
      <c r="B190" s="165">
        <f>SUM(B192:B195)</f>
        <v>681353</v>
      </c>
      <c r="C190" s="164">
        <v>431720</v>
      </c>
      <c r="D190" s="165">
        <v>391302.45824000001</v>
      </c>
      <c r="E190" s="165">
        <f>SUM(E193:E194)</f>
        <v>391113.11098</v>
      </c>
      <c r="F190" s="165">
        <v>199411.59195</v>
      </c>
      <c r="G190" s="165">
        <v>206011.66188999999</v>
      </c>
      <c r="H190" s="165">
        <v>175510.77165000001</v>
      </c>
      <c r="I190" s="165">
        <v>198081</v>
      </c>
      <c r="J190" s="165">
        <v>237370</v>
      </c>
      <c r="K190" s="165">
        <v>238966.38353999998</v>
      </c>
      <c r="L190" s="165">
        <v>224049.44029999999</v>
      </c>
      <c r="M190" s="165">
        <v>224363.31056999997</v>
      </c>
      <c r="N190" s="165">
        <v>344316.62433999998</v>
      </c>
      <c r="O190" s="165">
        <v>403614.79621</v>
      </c>
      <c r="P190" s="165">
        <v>377514.31662999996</v>
      </c>
      <c r="Q190" s="165">
        <v>389642.79183</v>
      </c>
      <c r="R190" s="165">
        <v>303688.82725999999</v>
      </c>
      <c r="S190" s="165">
        <v>335207.61069</v>
      </c>
      <c r="T190" s="165">
        <v>315195.53474000003</v>
      </c>
      <c r="U190" s="165">
        <v>344548.8578</v>
      </c>
      <c r="V190" s="165">
        <v>344735.42579000001</v>
      </c>
      <c r="W190" s="165">
        <v>389278.10339</v>
      </c>
      <c r="X190" s="165">
        <v>373038.96109</v>
      </c>
      <c r="Y190" s="165">
        <v>328817.5</v>
      </c>
      <c r="Z190" s="165">
        <v>319282.15263000003</v>
      </c>
      <c r="AA190" s="165">
        <v>321130.81355999998</v>
      </c>
      <c r="AB190" s="165">
        <v>314156.92950000003</v>
      </c>
      <c r="AC190" s="165">
        <v>307034.82757999998</v>
      </c>
      <c r="AD190" s="165">
        <v>307302.82946000004</v>
      </c>
      <c r="AE190" s="165">
        <v>342677.79284999997</v>
      </c>
      <c r="AF190" s="165">
        <v>328789.60674999998</v>
      </c>
      <c r="AG190" s="165">
        <v>389518.49130999995</v>
      </c>
      <c r="AH190" s="165">
        <v>409566.25683999993</v>
      </c>
      <c r="AI190" s="165">
        <v>440852.97411000001</v>
      </c>
      <c r="AJ190" s="165">
        <v>334993.11374000006</v>
      </c>
      <c r="AK190" s="165">
        <v>346235.43879480485</v>
      </c>
      <c r="AL190" s="165">
        <v>286919</v>
      </c>
      <c r="AM190" s="165">
        <v>202181</v>
      </c>
      <c r="AN190" s="165">
        <v>180184.38</v>
      </c>
      <c r="AO190" s="165">
        <v>171774</v>
      </c>
      <c r="AP190" s="165">
        <v>127332</v>
      </c>
      <c r="AQ190" s="165">
        <v>113111</v>
      </c>
      <c r="AR190" s="165">
        <v>94367</v>
      </c>
      <c r="AS190" s="165">
        <v>80597</v>
      </c>
      <c r="AT190" s="165">
        <v>62388</v>
      </c>
      <c r="AU190" s="165">
        <v>60888</v>
      </c>
      <c r="AV190" s="165">
        <v>57476</v>
      </c>
      <c r="AW190" s="165">
        <v>54429</v>
      </c>
      <c r="AX190" s="165">
        <v>55750</v>
      </c>
      <c r="AY190" s="165">
        <v>58193</v>
      </c>
      <c r="AZ190" s="165">
        <v>48945</v>
      </c>
      <c r="BA190" s="165">
        <v>53496</v>
      </c>
    </row>
    <row r="191" spans="1:54" s="11" customFormat="1" x14ac:dyDescent="0.25">
      <c r="A191" s="176"/>
      <c r="B191" s="345"/>
      <c r="C191" s="176"/>
      <c r="D191" s="9"/>
      <c r="E191" s="9"/>
      <c r="F191" s="9"/>
      <c r="G191" s="9"/>
      <c r="H191" s="9"/>
      <c r="I191" s="9"/>
      <c r="J191" s="176"/>
      <c r="K191" s="176"/>
      <c r="L191" s="176"/>
      <c r="M191" s="176"/>
      <c r="N191" s="176"/>
      <c r="O191" s="176"/>
      <c r="P191" s="176"/>
      <c r="Q191" s="176"/>
      <c r="R191" s="9"/>
      <c r="S191" s="9"/>
      <c r="T191" s="9"/>
      <c r="U191" s="9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4" s="11" customFormat="1" ht="17.25" x14ac:dyDescent="0.25">
      <c r="A192" s="168" t="s">
        <v>412</v>
      </c>
      <c r="B192" s="347"/>
      <c r="C192" s="168">
        <v>0</v>
      </c>
      <c r="D192" s="6">
        <v>0</v>
      </c>
      <c r="E192" s="6" t="s">
        <v>0</v>
      </c>
      <c r="F192" s="6" t="s">
        <v>0</v>
      </c>
      <c r="G192" s="6" t="s">
        <v>0</v>
      </c>
      <c r="H192" s="6" t="s">
        <v>0</v>
      </c>
      <c r="I192" s="6" t="s">
        <v>0</v>
      </c>
      <c r="J192" s="6" t="s">
        <v>0</v>
      </c>
      <c r="K192" s="6"/>
      <c r="L192" s="6">
        <v>0</v>
      </c>
      <c r="M192" s="6">
        <v>0</v>
      </c>
      <c r="N192" s="6">
        <v>131568.14278999998</v>
      </c>
      <c r="O192" s="6">
        <v>144920.5294</v>
      </c>
      <c r="P192" s="6">
        <v>138025.45680999997</v>
      </c>
      <c r="Q192" s="6">
        <v>133637.59889999998</v>
      </c>
      <c r="R192" s="6">
        <v>102189.79568000001</v>
      </c>
      <c r="S192" s="6">
        <v>106745.30673</v>
      </c>
      <c r="T192" s="6">
        <v>97105.244949999993</v>
      </c>
      <c r="U192" s="6">
        <v>100006.31703000001</v>
      </c>
      <c r="V192" s="7">
        <v>97948.591780000002</v>
      </c>
      <c r="W192" s="7">
        <v>103165.71157999999</v>
      </c>
      <c r="X192" s="7">
        <v>97651.216889999996</v>
      </c>
      <c r="Y192" s="7">
        <v>85122.3</v>
      </c>
      <c r="Z192" s="7">
        <v>83767.879660000006</v>
      </c>
      <c r="AA192" s="7">
        <v>81218.079359999989</v>
      </c>
      <c r="AB192" s="7">
        <v>83609.076650000017</v>
      </c>
      <c r="AC192" s="7">
        <v>80157.088289999985</v>
      </c>
      <c r="AD192" s="7">
        <v>82490.421679999999</v>
      </c>
      <c r="AE192" s="7">
        <v>82796.021649999995</v>
      </c>
      <c r="AF192" s="7">
        <v>81614.693619999991</v>
      </c>
      <c r="AG192" s="7">
        <v>91573.572039999999</v>
      </c>
      <c r="AH192" s="7">
        <v>98786.670769999997</v>
      </c>
      <c r="AI192" s="7">
        <v>101752.76516</v>
      </c>
      <c r="AJ192" s="7">
        <v>78255.021370000002</v>
      </c>
      <c r="AK192" s="7">
        <v>82464.478420000014</v>
      </c>
      <c r="AL192" s="7">
        <v>67194</v>
      </c>
      <c r="AM192" s="7">
        <v>62690</v>
      </c>
      <c r="AN192" s="7">
        <v>55642.400000000001</v>
      </c>
      <c r="AO192" s="7">
        <v>59605</v>
      </c>
      <c r="AP192" s="7">
        <v>61658</v>
      </c>
      <c r="AQ192" s="7">
        <v>60170</v>
      </c>
      <c r="AR192" s="7">
        <v>59346</v>
      </c>
      <c r="AS192" s="7">
        <v>55545</v>
      </c>
      <c r="AT192" s="7">
        <v>56163</v>
      </c>
      <c r="AU192" s="7">
        <v>57697</v>
      </c>
      <c r="AV192" s="7">
        <v>57476</v>
      </c>
      <c r="AW192" s="7">
        <v>54429</v>
      </c>
      <c r="AX192" s="7">
        <v>55750</v>
      </c>
      <c r="AY192" s="7">
        <v>58193</v>
      </c>
      <c r="AZ192" s="7">
        <v>48945</v>
      </c>
      <c r="BA192" s="7">
        <v>53496</v>
      </c>
    </row>
    <row r="193" spans="1:53" s="11" customFormat="1" ht="17.25" x14ac:dyDescent="0.25">
      <c r="A193" s="176" t="s">
        <v>414</v>
      </c>
      <c r="B193" s="9">
        <v>185218</v>
      </c>
      <c r="C193" s="9">
        <v>194099</v>
      </c>
      <c r="D193" s="9">
        <v>152963.86275</v>
      </c>
      <c r="E193" s="9">
        <v>143477.76418999999</v>
      </c>
      <c r="F193" s="9">
        <v>143694.23756000001</v>
      </c>
      <c r="G193" s="9">
        <v>153105.48689999999</v>
      </c>
      <c r="H193" s="9">
        <v>120646</v>
      </c>
      <c r="I193" s="9">
        <v>145518</v>
      </c>
      <c r="J193" s="9">
        <v>174155</v>
      </c>
      <c r="K193" s="176">
        <v>175982.89359999998</v>
      </c>
      <c r="L193" s="176">
        <v>164772.88102999999</v>
      </c>
      <c r="M193" s="176">
        <v>224363.31056999997</v>
      </c>
      <c r="N193" s="176">
        <v>212748.48154999997</v>
      </c>
      <c r="O193" s="176">
        <v>258694.26681</v>
      </c>
      <c r="P193" s="176">
        <v>239488.85981999998</v>
      </c>
      <c r="Q193" s="176">
        <v>256005.19292999999</v>
      </c>
      <c r="R193" s="9">
        <v>201499.03157999998</v>
      </c>
      <c r="S193" s="9">
        <v>228462.30395999999</v>
      </c>
      <c r="T193" s="9">
        <v>218090.28979000001</v>
      </c>
      <c r="U193" s="9">
        <v>244542.54076999999</v>
      </c>
      <c r="V193" s="10">
        <v>246786.83400999999</v>
      </c>
      <c r="W193" s="10">
        <v>286112.39181</v>
      </c>
      <c r="X193" s="10">
        <v>275387.74420000002</v>
      </c>
      <c r="Y193" s="10">
        <v>243695.2</v>
      </c>
      <c r="Z193" s="10">
        <v>235514.27296999999</v>
      </c>
      <c r="AA193" s="10">
        <v>239912.73420000001</v>
      </c>
      <c r="AB193" s="10">
        <v>230547.85285</v>
      </c>
      <c r="AC193" s="10">
        <v>226877.73929</v>
      </c>
      <c r="AD193" s="10">
        <v>224812.40778000001</v>
      </c>
      <c r="AE193" s="10">
        <v>259881.77119999999</v>
      </c>
      <c r="AF193" s="10">
        <v>247174.91312999997</v>
      </c>
      <c r="AG193" s="10">
        <v>297944.91926999995</v>
      </c>
      <c r="AH193" s="10">
        <v>310779.58606999996</v>
      </c>
      <c r="AI193" s="10">
        <v>339100.20895</v>
      </c>
      <c r="AJ193" s="10">
        <v>256738.09237000003</v>
      </c>
      <c r="AK193" s="10">
        <v>263770.96037480485</v>
      </c>
      <c r="AL193" s="10">
        <v>219725</v>
      </c>
      <c r="AM193" s="10">
        <v>139491</v>
      </c>
      <c r="AN193" s="10">
        <v>124541.98000000001</v>
      </c>
      <c r="AO193" s="10">
        <v>112169</v>
      </c>
      <c r="AP193" s="10">
        <v>65674</v>
      </c>
      <c r="AQ193" s="10">
        <v>52941</v>
      </c>
      <c r="AR193" s="10">
        <v>35021</v>
      </c>
      <c r="AS193" s="10">
        <v>25052</v>
      </c>
      <c r="AT193" s="10">
        <v>6225</v>
      </c>
      <c r="AU193" s="10">
        <v>3191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0</v>
      </c>
    </row>
    <row r="194" spans="1:53" s="11" customFormat="1" ht="17.25" x14ac:dyDescent="0.25">
      <c r="A194" s="168" t="s">
        <v>413</v>
      </c>
      <c r="B194" s="6">
        <v>496120</v>
      </c>
      <c r="C194" s="6">
        <v>237621</v>
      </c>
      <c r="D194" s="6">
        <v>238338.59549000001</v>
      </c>
      <c r="E194" s="6">
        <v>247635.34679000001</v>
      </c>
      <c r="F194" s="6">
        <v>55717.35439</v>
      </c>
      <c r="G194" s="6">
        <v>52906.174989999992</v>
      </c>
      <c r="H194" s="6">
        <v>54864.771649999995</v>
      </c>
      <c r="I194" s="6">
        <v>52563</v>
      </c>
      <c r="J194" s="6">
        <v>63215</v>
      </c>
      <c r="K194" s="6">
        <v>62983.489940000007</v>
      </c>
      <c r="L194" s="6">
        <v>59276.559270000005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</row>
    <row r="195" spans="1:53" s="11" customFormat="1" x14ac:dyDescent="0.25">
      <c r="A195" s="176" t="s">
        <v>494</v>
      </c>
      <c r="B195" s="9">
        <v>15</v>
      </c>
      <c r="C195" s="9"/>
      <c r="D195" s="9"/>
      <c r="E195" s="9"/>
      <c r="F195" s="9"/>
      <c r="G195" s="9"/>
      <c r="H195" s="9"/>
      <c r="I195" s="9"/>
      <c r="J195" s="9"/>
      <c r="K195" s="176"/>
      <c r="L195" s="176"/>
      <c r="M195" s="176"/>
      <c r="N195" s="176"/>
      <c r="O195" s="176"/>
      <c r="P195" s="176"/>
      <c r="Q195" s="176"/>
      <c r="R195" s="9"/>
      <c r="S195" s="9"/>
      <c r="T195" s="9"/>
      <c r="U195" s="9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 s="11" customFormat="1" x14ac:dyDescent="0.25">
      <c r="A196" s="176"/>
      <c r="B196" s="345"/>
      <c r="C196" s="9"/>
      <c r="D196" s="9"/>
      <c r="E196" s="9"/>
      <c r="F196" s="9"/>
      <c r="G196" s="9"/>
      <c r="H196" s="9"/>
      <c r="I196" s="9"/>
      <c r="J196" s="9"/>
      <c r="K196" s="176"/>
      <c r="L196" s="176"/>
      <c r="M196" s="176"/>
      <c r="N196" s="176"/>
      <c r="O196" s="176"/>
      <c r="P196" s="176"/>
      <c r="Q196" s="176"/>
      <c r="R196" s="9"/>
      <c r="S196" s="9"/>
      <c r="T196" s="9"/>
      <c r="U196" s="9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 s="13" customFormat="1" x14ac:dyDescent="0.25">
      <c r="A197" s="164" t="s">
        <v>110</v>
      </c>
      <c r="B197" s="165">
        <v>-35176</v>
      </c>
      <c r="C197" s="164">
        <v>-29704</v>
      </c>
      <c r="D197" s="164">
        <v>-16732</v>
      </c>
      <c r="E197" s="164">
        <v>-17909</v>
      </c>
      <c r="F197" s="165">
        <v>-18783</v>
      </c>
      <c r="G197" s="165">
        <v>-16230</v>
      </c>
      <c r="H197" s="165">
        <v>-17286</v>
      </c>
      <c r="I197" s="165">
        <v>-18343</v>
      </c>
      <c r="J197" s="165">
        <v>-19399</v>
      </c>
      <c r="K197" s="165">
        <v>-20072</v>
      </c>
      <c r="L197" s="165">
        <v>-9576</v>
      </c>
      <c r="M197" s="165">
        <v>-10176</v>
      </c>
      <c r="N197" s="165">
        <v>-10600</v>
      </c>
      <c r="O197" s="165">
        <v>-9300</v>
      </c>
      <c r="P197" s="165">
        <v>-9800</v>
      </c>
      <c r="Q197" s="165">
        <v>-10300</v>
      </c>
      <c r="R197" s="165">
        <v>-7300</v>
      </c>
      <c r="S197" s="165">
        <v>-7800</v>
      </c>
      <c r="T197" s="165">
        <v>-8100</v>
      </c>
      <c r="U197" s="165">
        <v>-7000</v>
      </c>
      <c r="V197" s="165">
        <v>-7300</v>
      </c>
      <c r="W197" s="165">
        <v>-7700</v>
      </c>
      <c r="X197" s="165">
        <v>-5500</v>
      </c>
      <c r="Y197" s="165">
        <v>-5900</v>
      </c>
      <c r="Z197" s="165"/>
      <c r="AA197" s="165"/>
      <c r="AB197" s="165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</row>
    <row r="198" spans="1:53" s="11" customFormat="1" x14ac:dyDescent="0.25">
      <c r="A198" s="176"/>
      <c r="B198" s="345"/>
      <c r="C198" s="176"/>
      <c r="D198" s="9"/>
      <c r="E198" s="9"/>
      <c r="F198" s="9"/>
      <c r="G198" s="9"/>
      <c r="H198" s="9"/>
      <c r="I198" s="9"/>
      <c r="J198" s="176"/>
      <c r="K198" s="176"/>
      <c r="L198" s="176"/>
      <c r="M198" s="176"/>
      <c r="N198" s="176"/>
      <c r="O198" s="176"/>
      <c r="P198" s="176"/>
      <c r="Q198" s="176"/>
      <c r="R198" s="9"/>
      <c r="S198" s="9"/>
      <c r="T198" s="9"/>
      <c r="U198" s="9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 s="13" customFormat="1" x14ac:dyDescent="0.25">
      <c r="A199" s="164" t="s">
        <v>111</v>
      </c>
      <c r="B199" s="165">
        <f>B188+B190+B197</f>
        <v>4743516</v>
      </c>
      <c r="C199" s="164">
        <f>C188+C190+C197</f>
        <v>4596548.1106899995</v>
      </c>
      <c r="D199" s="164">
        <f t="shared" ref="D199:BA199" si="0">D188+D190+D197</f>
        <v>3989857.9776100004</v>
      </c>
      <c r="E199" s="164">
        <f t="shared" si="0"/>
        <v>4063056.3481699997</v>
      </c>
      <c r="F199" s="164">
        <f t="shared" si="0"/>
        <v>4139919.31152</v>
      </c>
      <c r="G199" s="164">
        <f t="shared" si="0"/>
        <v>3435530.9448700002</v>
      </c>
      <c r="H199" s="164">
        <f t="shared" si="0"/>
        <v>3720812.7611499997</v>
      </c>
      <c r="I199" s="164">
        <f t="shared" si="0"/>
        <v>3742003</v>
      </c>
      <c r="J199" s="164">
        <f t="shared" si="0"/>
        <v>3985344</v>
      </c>
      <c r="K199" s="164">
        <f t="shared" si="0"/>
        <v>3989886.45731</v>
      </c>
      <c r="L199" s="164">
        <f t="shared" si="0"/>
        <v>3465773.5378194172</v>
      </c>
      <c r="M199" s="164">
        <f t="shared" si="0"/>
        <v>3623583.691349999</v>
      </c>
      <c r="N199" s="164">
        <f t="shared" si="0"/>
        <v>3785790.9438800002</v>
      </c>
      <c r="O199" s="164">
        <f t="shared" si="0"/>
        <v>3337764.4069899996</v>
      </c>
      <c r="P199" s="164">
        <f t="shared" si="0"/>
        <v>3309416.5936799999</v>
      </c>
      <c r="Q199" s="164">
        <f t="shared" si="0"/>
        <v>3369600.1381099992</v>
      </c>
      <c r="R199" s="164">
        <f t="shared" si="0"/>
        <v>3340254.0175200007</v>
      </c>
      <c r="S199" s="164">
        <f t="shared" si="0"/>
        <v>3402479.2637700005</v>
      </c>
      <c r="T199" s="164">
        <f t="shared" si="0"/>
        <v>3507216.5772999991</v>
      </c>
      <c r="U199" s="164">
        <f t="shared" si="0"/>
        <v>3478012.1623499999</v>
      </c>
      <c r="V199" s="164">
        <f t="shared" si="0"/>
        <v>3594794.8658999996</v>
      </c>
      <c r="W199" s="164">
        <f t="shared" si="0"/>
        <v>3552709.3668216765</v>
      </c>
      <c r="X199" s="164">
        <f t="shared" si="0"/>
        <v>3284956.4732156042</v>
      </c>
      <c r="Y199" s="164">
        <f t="shared" si="0"/>
        <v>3341001.6</v>
      </c>
      <c r="Z199" s="164">
        <f t="shared" si="0"/>
        <v>3208699.1526299999</v>
      </c>
      <c r="AA199" s="164">
        <f t="shared" si="0"/>
        <v>3262201.8135600002</v>
      </c>
      <c r="AB199" s="164">
        <f t="shared" si="0"/>
        <v>3367508.9295000001</v>
      </c>
      <c r="AC199" s="164">
        <f t="shared" si="0"/>
        <v>3421953.8275799998</v>
      </c>
      <c r="AD199" s="164">
        <f t="shared" si="0"/>
        <v>3522027.8294600002</v>
      </c>
      <c r="AE199" s="164">
        <f t="shared" si="0"/>
        <v>3571161.7928499999</v>
      </c>
      <c r="AF199" s="164">
        <f t="shared" si="0"/>
        <v>3519009.6067499998</v>
      </c>
      <c r="AG199" s="164">
        <f t="shared" si="0"/>
        <v>3611249.49131</v>
      </c>
      <c r="AH199" s="164">
        <f t="shared" si="0"/>
        <v>3693127.2568399999</v>
      </c>
      <c r="AI199" s="164">
        <f t="shared" si="0"/>
        <v>3844514.9741099998</v>
      </c>
      <c r="AJ199" s="164">
        <f t="shared" si="0"/>
        <v>3498005.1137399999</v>
      </c>
      <c r="AK199" s="164">
        <f t="shared" si="0"/>
        <v>3539632.4387948047</v>
      </c>
      <c r="AL199" s="164">
        <f t="shared" si="0"/>
        <v>3543590</v>
      </c>
      <c r="AM199" s="164">
        <f t="shared" si="0"/>
        <v>3271989</v>
      </c>
      <c r="AN199" s="164">
        <f t="shared" si="0"/>
        <v>3334664.38</v>
      </c>
      <c r="AO199" s="164">
        <f t="shared" si="0"/>
        <v>3207085</v>
      </c>
      <c r="AP199" s="164">
        <f t="shared" si="0"/>
        <v>3272424</v>
      </c>
      <c r="AQ199" s="164">
        <f t="shared" si="0"/>
        <v>3143127</v>
      </c>
      <c r="AR199" s="164">
        <f t="shared" si="0"/>
        <v>3191479</v>
      </c>
      <c r="AS199" s="164">
        <f t="shared" si="0"/>
        <v>3149861</v>
      </c>
      <c r="AT199" s="164">
        <f t="shared" si="0"/>
        <v>3182318</v>
      </c>
      <c r="AU199" s="164">
        <f t="shared" si="0"/>
        <v>3127648</v>
      </c>
      <c r="AV199" s="164">
        <f t="shared" si="0"/>
        <v>3165271</v>
      </c>
      <c r="AW199" s="164">
        <f t="shared" si="0"/>
        <v>3345324</v>
      </c>
      <c r="AX199" s="164">
        <f t="shared" si="0"/>
        <v>2952899</v>
      </c>
      <c r="AY199" s="164">
        <f t="shared" si="0"/>
        <v>2594367</v>
      </c>
      <c r="AZ199" s="164">
        <f t="shared" si="0"/>
        <v>2418349</v>
      </c>
      <c r="BA199" s="164">
        <f t="shared" si="0"/>
        <v>2317561.1119999997</v>
      </c>
    </row>
    <row r="200" spans="1:53" s="182" customFormat="1" ht="15.75" x14ac:dyDescent="0.25">
      <c r="B200" s="183"/>
      <c r="D200" s="9"/>
      <c r="E200" s="9"/>
      <c r="F200" s="9"/>
      <c r="G200" s="183"/>
      <c r="H200" s="183"/>
      <c r="I200" s="183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</row>
    <row r="201" spans="1:53" s="13" customFormat="1" x14ac:dyDescent="0.25">
      <c r="A201" s="164" t="s">
        <v>112</v>
      </c>
      <c r="B201" s="165">
        <v>92279</v>
      </c>
      <c r="C201" s="164">
        <v>97373</v>
      </c>
      <c r="D201" s="164">
        <v>106825</v>
      </c>
      <c r="E201" s="164">
        <v>115011</v>
      </c>
      <c r="F201" s="165">
        <v>105916</v>
      </c>
      <c r="G201" s="165">
        <v>105936</v>
      </c>
      <c r="H201" s="165">
        <v>97947</v>
      </c>
      <c r="I201" s="165">
        <v>99262</v>
      </c>
      <c r="J201" s="165">
        <v>75639</v>
      </c>
      <c r="K201" s="165">
        <v>77899</v>
      </c>
      <c r="L201" s="165">
        <v>78735</v>
      </c>
      <c r="M201" s="165">
        <v>83797</v>
      </c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</row>
    <row r="202" spans="1:53" s="182" customFormat="1" ht="15.75" x14ac:dyDescent="0.25">
      <c r="B202" s="183"/>
      <c r="D202" s="183"/>
      <c r="E202" s="183"/>
      <c r="F202" s="183"/>
      <c r="G202" s="183"/>
      <c r="H202" s="183"/>
      <c r="I202" s="183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</row>
    <row r="203" spans="1:53" s="13" customFormat="1" x14ac:dyDescent="0.25">
      <c r="A203" s="164" t="s">
        <v>241</v>
      </c>
      <c r="B203" s="165">
        <f>B199+B201</f>
        <v>4835795</v>
      </c>
      <c r="C203" s="164">
        <f t="shared" ref="C203:M203" si="1">C199+C201</f>
        <v>4693921.1106899995</v>
      </c>
      <c r="D203" s="164">
        <f t="shared" si="1"/>
        <v>4096682.9776100004</v>
      </c>
      <c r="E203" s="164">
        <f t="shared" si="1"/>
        <v>4178067.3481699997</v>
      </c>
      <c r="F203" s="164">
        <f t="shared" si="1"/>
        <v>4245835.31152</v>
      </c>
      <c r="G203" s="164">
        <f t="shared" si="1"/>
        <v>3541466.9448700002</v>
      </c>
      <c r="H203" s="164">
        <f t="shared" si="1"/>
        <v>3818759.7611499997</v>
      </c>
      <c r="I203" s="164">
        <f t="shared" si="1"/>
        <v>3841265</v>
      </c>
      <c r="J203" s="164">
        <f t="shared" si="1"/>
        <v>4060983</v>
      </c>
      <c r="K203" s="164">
        <f t="shared" si="1"/>
        <v>4067785.45731</v>
      </c>
      <c r="L203" s="164">
        <f t="shared" si="1"/>
        <v>3544508.5378194172</v>
      </c>
      <c r="M203" s="164">
        <f t="shared" si="1"/>
        <v>3707380.691349999</v>
      </c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</row>
    <row r="204" spans="1:53" s="11" customFormat="1" x14ac:dyDescent="0.25">
      <c r="A204" s="185" t="s">
        <v>246</v>
      </c>
      <c r="B204" s="348"/>
      <c r="C204" s="185"/>
      <c r="D204" s="205"/>
      <c r="E204" s="205"/>
      <c r="F204" s="185"/>
      <c r="G204" s="186"/>
      <c r="H204" s="186"/>
      <c r="I204" s="186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7"/>
    </row>
    <row r="205" spans="1:53" x14ac:dyDescent="0.25">
      <c r="A205" s="355" t="s">
        <v>411</v>
      </c>
      <c r="B205" s="355"/>
      <c r="C205" s="355"/>
      <c r="D205" s="355"/>
      <c r="E205" s="355"/>
      <c r="F205" s="355"/>
    </row>
    <row r="206" spans="1:53" ht="15" customHeight="1" x14ac:dyDescent="0.25"/>
    <row r="207" spans="1:53" ht="15" customHeight="1" x14ac:dyDescent="0.25"/>
    <row r="208" spans="1:53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</sheetData>
  <mergeCells count="2">
    <mergeCell ref="M1:Q1"/>
    <mergeCell ref="A205:F20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BC27"/>
  <sheetViews>
    <sheetView workbookViewId="0">
      <selection activeCell="B15" sqref="B15"/>
    </sheetView>
  </sheetViews>
  <sheetFormatPr defaultColWidth="0" defaultRowHeight="15" x14ac:dyDescent="0.25"/>
  <cols>
    <col min="1" max="1" width="45.85546875" style="32" customWidth="1"/>
    <col min="2" max="2" width="16" style="207" customWidth="1"/>
    <col min="3" max="3" width="13.140625" style="207" customWidth="1"/>
    <col min="4" max="4" width="11.42578125" style="2" customWidth="1"/>
    <col min="5" max="14" width="9.140625" style="2" customWidth="1"/>
    <col min="15" max="15" width="9.140625" style="32" customWidth="1"/>
    <col min="16" max="47" width="9.140625" style="32" hidden="1" customWidth="1"/>
    <col min="48" max="55" width="0" style="32" hidden="1" customWidth="1"/>
    <col min="56" max="16384" width="9.140625" style="32" hidden="1"/>
  </cols>
  <sheetData>
    <row r="1" spans="1:49" ht="80.45" customHeight="1" x14ac:dyDescent="0.25">
      <c r="A1" s="209"/>
      <c r="B1" s="209"/>
      <c r="C1" s="209"/>
      <c r="D1" s="209"/>
      <c r="E1" s="209"/>
      <c r="F1" s="209"/>
      <c r="G1" s="209"/>
      <c r="H1" s="209"/>
      <c r="I1" s="357" t="s">
        <v>180</v>
      </c>
      <c r="J1" s="357"/>
      <c r="K1" s="357"/>
      <c r="L1" s="357"/>
      <c r="M1" s="357"/>
      <c r="N1" s="357"/>
      <c r="O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49" s="21" customFormat="1" x14ac:dyDescent="0.25">
      <c r="A2" s="271"/>
      <c r="B2" s="272">
        <v>2023</v>
      </c>
      <c r="C2" s="272">
        <v>2022</v>
      </c>
      <c r="D2" s="272">
        <v>2021</v>
      </c>
      <c r="E2" s="272">
        <v>2020</v>
      </c>
      <c r="F2" s="272">
        <v>2019</v>
      </c>
      <c r="G2" s="272">
        <v>2018</v>
      </c>
      <c r="H2" s="272">
        <v>2017</v>
      </c>
      <c r="I2" s="272">
        <v>2016</v>
      </c>
      <c r="J2" s="272">
        <v>2015</v>
      </c>
      <c r="K2" s="272">
        <v>2014</v>
      </c>
      <c r="L2" s="272">
        <v>2013</v>
      </c>
      <c r="M2" s="272">
        <v>2012</v>
      </c>
      <c r="N2" s="272">
        <v>2011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W2" s="24"/>
    </row>
    <row r="3" spans="1:49" x14ac:dyDescent="0.25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W3" s="33"/>
    </row>
    <row r="4" spans="1:49" x14ac:dyDescent="0.25">
      <c r="A4" s="163" t="s">
        <v>456</v>
      </c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165"/>
      <c r="N4" s="165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W4" s="33"/>
    </row>
    <row r="5" spans="1:49" x14ac:dyDescent="0.25">
      <c r="A5" s="40"/>
      <c r="B5" s="4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W5" s="33"/>
    </row>
    <row r="6" spans="1:49" x14ac:dyDescent="0.25">
      <c r="A6" s="42" t="s">
        <v>1</v>
      </c>
      <c r="B6" s="44">
        <v>680</v>
      </c>
      <c r="C6" s="44">
        <v>579.4</v>
      </c>
      <c r="D6" s="44">
        <v>537</v>
      </c>
      <c r="E6" s="44">
        <v>147</v>
      </c>
      <c r="F6" s="44">
        <v>260</v>
      </c>
      <c r="G6" s="44">
        <v>293</v>
      </c>
      <c r="H6" s="44">
        <v>239</v>
      </c>
      <c r="I6" s="44">
        <v>164</v>
      </c>
      <c r="J6" s="44">
        <v>201</v>
      </c>
      <c r="K6" s="44">
        <v>280</v>
      </c>
      <c r="L6" s="44">
        <v>322</v>
      </c>
      <c r="M6" s="44">
        <v>236</v>
      </c>
      <c r="N6" s="44">
        <v>270</v>
      </c>
      <c r="O6" s="45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W6" s="33"/>
    </row>
    <row r="7" spans="1:49" x14ac:dyDescent="0.25">
      <c r="A7" s="47" t="s">
        <v>2</v>
      </c>
      <c r="B7" s="48">
        <v>671</v>
      </c>
      <c r="C7" s="48">
        <v>449.29999999999995</v>
      </c>
      <c r="D7" s="48">
        <v>318</v>
      </c>
      <c r="E7" s="48">
        <v>213</v>
      </c>
      <c r="F7" s="48">
        <v>279</v>
      </c>
      <c r="G7" s="48">
        <v>357</v>
      </c>
      <c r="H7" s="48">
        <v>252</v>
      </c>
      <c r="I7" s="48">
        <v>218</v>
      </c>
      <c r="J7" s="48">
        <v>229</v>
      </c>
      <c r="K7" s="48">
        <v>556</v>
      </c>
      <c r="L7" s="48">
        <v>566</v>
      </c>
      <c r="M7" s="48">
        <v>505</v>
      </c>
      <c r="N7" s="48">
        <v>391</v>
      </c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W7" s="33"/>
    </row>
    <row r="8" spans="1:49" x14ac:dyDescent="0.25">
      <c r="A8" s="32" t="s">
        <v>135</v>
      </c>
      <c r="B8" s="44">
        <v>78.48</v>
      </c>
      <c r="C8" s="44">
        <v>100.8</v>
      </c>
      <c r="D8" s="44">
        <v>52</v>
      </c>
      <c r="E8" s="44">
        <v>99</v>
      </c>
      <c r="F8" s="44">
        <v>47</v>
      </c>
      <c r="G8" s="44">
        <v>36</v>
      </c>
      <c r="H8" s="44">
        <v>20</v>
      </c>
      <c r="I8" s="44">
        <v>6</v>
      </c>
      <c r="J8" s="44">
        <v>5</v>
      </c>
      <c r="K8" s="44">
        <v>29</v>
      </c>
      <c r="L8" s="44">
        <v>21</v>
      </c>
      <c r="M8" s="44">
        <v>14</v>
      </c>
      <c r="N8" s="44">
        <v>22</v>
      </c>
      <c r="O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W8" s="33"/>
    </row>
    <row r="9" spans="1:49" ht="17.25" x14ac:dyDescent="0.25">
      <c r="A9" s="47" t="s">
        <v>250</v>
      </c>
      <c r="B9" s="48">
        <v>198.55081999999999</v>
      </c>
      <c r="C9" s="48">
        <v>176</v>
      </c>
      <c r="D9" s="48">
        <v>95.8</v>
      </c>
      <c r="E9" s="48">
        <v>111.43600000000001</v>
      </c>
      <c r="F9" s="48"/>
      <c r="G9" s="48"/>
      <c r="H9" s="48"/>
      <c r="I9" s="48"/>
      <c r="J9" s="48"/>
      <c r="K9" s="48"/>
      <c r="L9" s="48"/>
      <c r="M9" s="48"/>
      <c r="N9" s="48"/>
      <c r="O9" s="45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W9" s="33"/>
    </row>
    <row r="10" spans="1:49" x14ac:dyDescent="0.25">
      <c r="A10" s="32" t="s">
        <v>181</v>
      </c>
      <c r="B10" s="44"/>
      <c r="C10" s="44">
        <v>0</v>
      </c>
      <c r="D10" s="44"/>
      <c r="E10" s="44"/>
      <c r="F10" s="44">
        <v>0</v>
      </c>
      <c r="G10" s="44">
        <v>0</v>
      </c>
      <c r="H10" s="44">
        <v>0</v>
      </c>
      <c r="I10" s="44">
        <v>7</v>
      </c>
      <c r="J10" s="44">
        <v>115</v>
      </c>
      <c r="K10" s="44">
        <v>0</v>
      </c>
      <c r="L10" s="44">
        <v>0</v>
      </c>
      <c r="M10" s="44">
        <v>0</v>
      </c>
      <c r="N10" s="44">
        <v>0</v>
      </c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W10" s="33"/>
    </row>
    <row r="11" spans="1:49" x14ac:dyDescent="0.25">
      <c r="A11" s="49" t="s">
        <v>7</v>
      </c>
      <c r="B11" s="50">
        <f t="shared" ref="B11:N11" si="0">SUM(B6:B10)</f>
        <v>1628.0308199999999</v>
      </c>
      <c r="C11" s="50">
        <f t="shared" si="0"/>
        <v>1305.4999999999998</v>
      </c>
      <c r="D11" s="50">
        <f t="shared" si="0"/>
        <v>1002.8</v>
      </c>
      <c r="E11" s="50">
        <f t="shared" si="0"/>
        <v>570.43600000000004</v>
      </c>
      <c r="F11" s="50">
        <f t="shared" si="0"/>
        <v>586</v>
      </c>
      <c r="G11" s="50">
        <f t="shared" si="0"/>
        <v>686</v>
      </c>
      <c r="H11" s="50">
        <f t="shared" si="0"/>
        <v>511</v>
      </c>
      <c r="I11" s="50">
        <f t="shared" si="0"/>
        <v>395</v>
      </c>
      <c r="J11" s="50">
        <f t="shared" si="0"/>
        <v>550</v>
      </c>
      <c r="K11" s="50">
        <f t="shared" si="0"/>
        <v>865</v>
      </c>
      <c r="L11" s="50">
        <f t="shared" si="0"/>
        <v>909</v>
      </c>
      <c r="M11" s="50">
        <f t="shared" si="0"/>
        <v>755</v>
      </c>
      <c r="N11" s="50">
        <f t="shared" si="0"/>
        <v>683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W11" s="33"/>
    </row>
    <row r="12" spans="1:49" s="52" customFormat="1" x14ac:dyDescent="0.25">
      <c r="B12" s="43"/>
      <c r="C12"/>
      <c r="D12"/>
      <c r="E12"/>
      <c r="F12"/>
      <c r="G12"/>
      <c r="H12"/>
      <c r="I12"/>
      <c r="J12"/>
      <c r="K12"/>
      <c r="L12"/>
      <c r="M12"/>
      <c r="N1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</row>
    <row r="13" spans="1:49" x14ac:dyDescent="0.25">
      <c r="A13" s="49" t="s">
        <v>182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364</v>
      </c>
      <c r="K13" s="50">
        <v>280</v>
      </c>
      <c r="L13" s="50">
        <v>0</v>
      </c>
      <c r="M13" s="50">
        <v>0</v>
      </c>
      <c r="N13" s="50"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W13" s="33"/>
    </row>
    <row r="14" spans="1:49" x14ac:dyDescent="0.25">
      <c r="A14" s="42"/>
      <c r="B14" s="4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W14" s="33"/>
    </row>
    <row r="15" spans="1:49" x14ac:dyDescent="0.25">
      <c r="A15" s="49" t="s">
        <v>473</v>
      </c>
      <c r="B15" s="50">
        <v>31.499608160000058</v>
      </c>
      <c r="C15" s="50">
        <v>40</v>
      </c>
      <c r="D15" s="50">
        <v>36</v>
      </c>
      <c r="E15" s="50">
        <v>22</v>
      </c>
      <c r="F15" s="50">
        <v>34</v>
      </c>
      <c r="G15" s="50">
        <v>46</v>
      </c>
      <c r="H15" s="50">
        <v>28</v>
      </c>
      <c r="I15" s="50">
        <v>33</v>
      </c>
      <c r="J15" s="50">
        <v>49</v>
      </c>
      <c r="K15" s="50">
        <v>69</v>
      </c>
      <c r="L15" s="50">
        <v>0</v>
      </c>
      <c r="M15" s="50">
        <v>0</v>
      </c>
      <c r="N15" s="50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W15" s="33"/>
    </row>
    <row r="16" spans="1:49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W16" s="33"/>
    </row>
    <row r="17" spans="1:49" x14ac:dyDescent="0.25">
      <c r="A17" s="49" t="s">
        <v>474</v>
      </c>
      <c r="B17" s="50">
        <f t="shared" ref="B17:N17" si="1">SUM(B11:B15)</f>
        <v>1659.5304281599999</v>
      </c>
      <c r="C17" s="50">
        <f t="shared" si="1"/>
        <v>1345.4999999999998</v>
      </c>
      <c r="D17" s="50">
        <f t="shared" si="1"/>
        <v>1038.8</v>
      </c>
      <c r="E17" s="50">
        <f t="shared" si="1"/>
        <v>592.43600000000004</v>
      </c>
      <c r="F17" s="50">
        <f t="shared" si="1"/>
        <v>620</v>
      </c>
      <c r="G17" s="50">
        <f t="shared" si="1"/>
        <v>732</v>
      </c>
      <c r="H17" s="50">
        <f t="shared" si="1"/>
        <v>539</v>
      </c>
      <c r="I17" s="50">
        <f t="shared" si="1"/>
        <v>428</v>
      </c>
      <c r="J17" s="50">
        <f t="shared" si="1"/>
        <v>963</v>
      </c>
      <c r="K17" s="50">
        <f t="shared" si="1"/>
        <v>1214</v>
      </c>
      <c r="L17" s="50">
        <f t="shared" si="1"/>
        <v>909</v>
      </c>
      <c r="M17" s="50">
        <f t="shared" si="1"/>
        <v>755</v>
      </c>
      <c r="N17" s="50">
        <f t="shared" si="1"/>
        <v>683</v>
      </c>
      <c r="O17" s="6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W17" s="33"/>
    </row>
    <row r="18" spans="1:49" ht="40.5" customHeight="1" x14ac:dyDescent="0.25">
      <c r="A18" s="356" t="s">
        <v>265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60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8" customHeight="1" x14ac:dyDescent="0.25">
      <c r="A19" s="33" t="s">
        <v>183</v>
      </c>
      <c r="B19" s="33"/>
      <c r="C19" s="33"/>
      <c r="D19" s="33"/>
      <c r="E19" s="33"/>
      <c r="F19" s="33"/>
      <c r="G19" s="33"/>
      <c r="H19" s="33"/>
      <c r="I19" s="61"/>
      <c r="J19" s="61"/>
      <c r="K19" s="61"/>
      <c r="L19" s="61"/>
      <c r="M19" s="61"/>
      <c r="N19" s="61"/>
      <c r="O19" s="6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x14ac:dyDescent="0.25">
      <c r="A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60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x14ac:dyDescent="0.25">
      <c r="A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49" x14ac:dyDescent="0.25">
      <c r="C22"/>
      <c r="D22"/>
      <c r="E22"/>
      <c r="F22"/>
      <c r="G22"/>
      <c r="H22"/>
      <c r="I22"/>
      <c r="J22"/>
      <c r="K22"/>
      <c r="L22"/>
      <c r="M22"/>
      <c r="N22"/>
    </row>
    <row r="23" spans="1:49" x14ac:dyDescent="0.25">
      <c r="B23" s="304"/>
    </row>
    <row r="24" spans="1:49" x14ac:dyDescent="0.25">
      <c r="B24" s="304"/>
    </row>
    <row r="25" spans="1:49" x14ac:dyDescent="0.25">
      <c r="B25" s="304"/>
    </row>
    <row r="26" spans="1:49" x14ac:dyDescent="0.25">
      <c r="B26" s="304"/>
    </row>
    <row r="27" spans="1:49" x14ac:dyDescent="0.25">
      <c r="B27" s="304"/>
    </row>
  </sheetData>
  <mergeCells count="2">
    <mergeCell ref="A18:N18"/>
    <mergeCell ref="I1:N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BA34"/>
  <sheetViews>
    <sheetView topLeftCell="A2" zoomScale="110" zoomScaleNormal="110" workbookViewId="0">
      <selection activeCell="B16" sqref="B16"/>
    </sheetView>
  </sheetViews>
  <sheetFormatPr defaultRowHeight="15" x14ac:dyDescent="0.25"/>
  <cols>
    <col min="1" max="1" width="58.28515625" customWidth="1"/>
    <col min="2" max="7" width="10.7109375" style="302" customWidth="1"/>
    <col min="8" max="53" width="10.7109375" customWidth="1"/>
  </cols>
  <sheetData>
    <row r="1" spans="1:53" s="208" customFormat="1" ht="83.45" customHeight="1" x14ac:dyDescent="0.25">
      <c r="A1" s="99"/>
      <c r="B1" s="109"/>
      <c r="C1" s="109"/>
      <c r="D1" s="109"/>
      <c r="E1" s="109"/>
      <c r="F1" s="110"/>
      <c r="G1" s="80"/>
      <c r="H1" s="80"/>
      <c r="I1" s="80"/>
      <c r="J1" s="358" t="s">
        <v>446</v>
      </c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149"/>
      <c r="AM1" s="149"/>
      <c r="AN1" s="149"/>
      <c r="AO1" s="149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53" x14ac:dyDescent="0.25">
      <c r="A2" s="273" t="s">
        <v>139</v>
      </c>
      <c r="B2" s="294" t="s">
        <v>447</v>
      </c>
      <c r="C2" s="294" t="s">
        <v>407</v>
      </c>
      <c r="D2" s="294" t="s">
        <v>404</v>
      </c>
      <c r="E2" s="294" t="s">
        <v>140</v>
      </c>
      <c r="F2" s="294" t="s">
        <v>136</v>
      </c>
      <c r="G2" s="294" t="s">
        <v>133</v>
      </c>
      <c r="H2" s="272" t="s">
        <v>73</v>
      </c>
      <c r="I2" s="272" t="s">
        <v>72</v>
      </c>
      <c r="J2" s="272" t="s">
        <v>69</v>
      </c>
      <c r="K2" s="272" t="s">
        <v>70</v>
      </c>
      <c r="L2" s="272" t="s">
        <v>67</v>
      </c>
      <c r="M2" s="272" t="s">
        <v>66</v>
      </c>
      <c r="N2" s="272" t="s">
        <v>63</v>
      </c>
      <c r="O2" s="272" t="s">
        <v>61</v>
      </c>
      <c r="P2" s="272" t="s">
        <v>60</v>
      </c>
      <c r="Q2" s="272" t="s">
        <v>59</v>
      </c>
      <c r="R2" s="272" t="s">
        <v>58</v>
      </c>
      <c r="S2" s="272" t="s">
        <v>57</v>
      </c>
      <c r="T2" s="272" t="s">
        <v>56</v>
      </c>
      <c r="U2" s="272" t="s">
        <v>55</v>
      </c>
      <c r="V2" s="272" t="s">
        <v>31</v>
      </c>
      <c r="W2" s="272" t="s">
        <v>29</v>
      </c>
      <c r="X2" s="272" t="s">
        <v>22</v>
      </c>
      <c r="Y2" s="272" t="s">
        <v>13</v>
      </c>
      <c r="Z2" s="272" t="s">
        <v>14</v>
      </c>
      <c r="AA2" s="272" t="s">
        <v>15</v>
      </c>
      <c r="AB2" s="272" t="s">
        <v>16</v>
      </c>
      <c r="AC2" s="272" t="s">
        <v>11</v>
      </c>
      <c r="AD2" s="272" t="s">
        <v>17</v>
      </c>
      <c r="AE2" s="272" t="s">
        <v>18</v>
      </c>
      <c r="AF2" s="272" t="s">
        <v>19</v>
      </c>
      <c r="AG2" s="272" t="s">
        <v>3</v>
      </c>
      <c r="AH2" s="272" t="s">
        <v>90</v>
      </c>
      <c r="AI2" s="272" t="s">
        <v>91</v>
      </c>
      <c r="AJ2" s="272" t="s">
        <v>92</v>
      </c>
      <c r="AK2" s="272" t="s">
        <v>93</v>
      </c>
      <c r="AL2" s="272" t="s">
        <v>94</v>
      </c>
      <c r="AM2" s="272" t="s">
        <v>95</v>
      </c>
      <c r="AN2" s="272" t="s">
        <v>96</v>
      </c>
      <c r="AO2" s="272" t="s">
        <v>97</v>
      </c>
      <c r="AP2" s="272" t="s">
        <v>98</v>
      </c>
      <c r="AQ2" s="272" t="s">
        <v>99</v>
      </c>
      <c r="AR2" s="272" t="s">
        <v>100</v>
      </c>
      <c r="AS2" s="272" t="s">
        <v>101</v>
      </c>
      <c r="AT2" s="272" t="s">
        <v>102</v>
      </c>
      <c r="AU2" s="272" t="s">
        <v>103</v>
      </c>
      <c r="AV2" s="272" t="s">
        <v>104</v>
      </c>
      <c r="AW2" s="272" t="s">
        <v>105</v>
      </c>
      <c r="AX2" s="272" t="s">
        <v>106</v>
      </c>
      <c r="AY2" s="272" t="s">
        <v>107</v>
      </c>
      <c r="AZ2" s="272" t="s">
        <v>108</v>
      </c>
      <c r="BA2" s="272" t="s">
        <v>109</v>
      </c>
    </row>
    <row r="3" spans="1:53" x14ac:dyDescent="0.25">
      <c r="A3" s="64" t="s">
        <v>458</v>
      </c>
      <c r="B3" s="295">
        <f>[3]RELEASE!$C$86</f>
        <v>4680.6610000000001</v>
      </c>
      <c r="C3" s="295">
        <v>4677.1189999999997</v>
      </c>
      <c r="D3" s="295">
        <v>4656.4040000000005</v>
      </c>
      <c r="E3" s="295">
        <v>4645.9480000000003</v>
      </c>
      <c r="F3" s="295">
        <v>4635.9780000000001</v>
      </c>
      <c r="G3" s="295">
        <v>4618.7619999999997</v>
      </c>
      <c r="H3" s="74">
        <v>4606.2759999999998</v>
      </c>
      <c r="I3" s="74">
        <v>4601.0429999999997</v>
      </c>
      <c r="J3" s="74">
        <v>4591.4759999999997</v>
      </c>
      <c r="K3" s="74">
        <v>4573.2920000000004</v>
      </c>
      <c r="L3" s="74">
        <v>4553.6509999999998</v>
      </c>
      <c r="M3" s="74">
        <v>4545.424</v>
      </c>
      <c r="N3" s="74">
        <v>4528.6840000000002</v>
      </c>
      <c r="O3" s="74">
        <v>4489.4719999999998</v>
      </c>
      <c r="P3" s="74">
        <v>4444.1549999999997</v>
      </c>
      <c r="Q3" s="74">
        <v>4415.9110000000001</v>
      </c>
      <c r="R3" s="74">
        <v>4400.7110000000002</v>
      </c>
      <c r="S3" s="74">
        <v>4380.2759999999998</v>
      </c>
      <c r="T3" s="74">
        <v>4365.2269999999999</v>
      </c>
      <c r="U3" s="74">
        <v>4346.107</v>
      </c>
      <c r="V3" s="70">
        <v>4329.4759999999997</v>
      </c>
      <c r="W3" s="70">
        <v>4314.3599999999997</v>
      </c>
      <c r="X3" s="70">
        <v>4310.7719999999999</v>
      </c>
      <c r="Y3" s="70">
        <v>4294.5469999999996</v>
      </c>
      <c r="Z3" s="70">
        <v>4273.2340000000004</v>
      </c>
      <c r="AA3" s="70">
        <v>4259.7449999999999</v>
      </c>
      <c r="AB3" s="70">
        <v>4238.76</v>
      </c>
      <c r="AC3" s="70">
        <v>4226.8029999999999</v>
      </c>
      <c r="AD3" s="70">
        <v>4207.7749999999996</v>
      </c>
      <c r="AE3" s="70">
        <v>4185.1490000000003</v>
      </c>
      <c r="AF3" s="70">
        <v>4164.6710000000003</v>
      </c>
      <c r="AG3" s="70">
        <v>4150.0389999999998</v>
      </c>
      <c r="AH3" s="70">
        <v>4133.9799999999996</v>
      </c>
      <c r="AI3" s="70">
        <v>4106.6040000000003</v>
      </c>
      <c r="AJ3" s="70">
        <v>4071.0740000000001</v>
      </c>
      <c r="AK3" s="70">
        <v>4075.2240000000002</v>
      </c>
      <c r="AL3" s="70">
        <v>4042.34</v>
      </c>
      <c r="AM3" s="70">
        <v>4009.7820000000002</v>
      </c>
      <c r="AN3" s="70">
        <v>3972.0929999999998</v>
      </c>
      <c r="AO3" s="70">
        <v>3954.8090000000002</v>
      </c>
      <c r="AP3" s="70">
        <v>3915.098</v>
      </c>
      <c r="AQ3" s="70">
        <v>3878.64</v>
      </c>
      <c r="AR3" s="70">
        <v>3837.2849999999999</v>
      </c>
      <c r="AS3" s="70">
        <v>3807.55</v>
      </c>
      <c r="AT3" s="70">
        <v>3779.192</v>
      </c>
      <c r="AU3" s="70">
        <v>3741.915</v>
      </c>
      <c r="AV3" s="70">
        <v>3703.192</v>
      </c>
      <c r="AW3" s="70">
        <v>3661.4630000000002</v>
      </c>
      <c r="AX3" s="70">
        <v>3634.6889999999999</v>
      </c>
      <c r="AY3" s="70">
        <v>3597.4740000000002</v>
      </c>
      <c r="AZ3" s="70">
        <v>3564.71</v>
      </c>
      <c r="BA3" s="70">
        <v>3535359</v>
      </c>
    </row>
    <row r="4" spans="1:53" x14ac:dyDescent="0.25">
      <c r="A4" s="66" t="s">
        <v>459</v>
      </c>
      <c r="B4" s="296">
        <f>[3]RELEASE!$C$94</f>
        <v>3194.239</v>
      </c>
      <c r="C4" s="296">
        <v>3174.578</v>
      </c>
      <c r="D4" s="296">
        <v>3155.7959999999998</v>
      </c>
      <c r="E4" s="296">
        <v>3141.8409999999999</v>
      </c>
      <c r="F4" s="296">
        <v>3121.9479999999999</v>
      </c>
      <c r="G4" s="296">
        <v>3109.5710000000004</v>
      </c>
      <c r="H4" s="75">
        <v>3092.875</v>
      </c>
      <c r="I4" s="75">
        <v>3077.1800000000003</v>
      </c>
      <c r="J4" s="75">
        <v>3063.8050000000003</v>
      </c>
      <c r="K4" s="75">
        <v>3048.1060000000002</v>
      </c>
      <c r="L4" s="75">
        <v>3029.8319999999999</v>
      </c>
      <c r="M4" s="75">
        <v>3011.7370000000001</v>
      </c>
      <c r="N4" s="75">
        <v>2992.4049999999997</v>
      </c>
      <c r="O4" s="75">
        <v>2971.6589999999997</v>
      </c>
      <c r="P4" s="75">
        <v>2949.884</v>
      </c>
      <c r="Q4" s="75">
        <v>2932.2689999999998</v>
      </c>
      <c r="R4" s="75">
        <v>2921.125</v>
      </c>
      <c r="S4" s="75">
        <v>2908.9859999999999</v>
      </c>
      <c r="T4" s="75">
        <v>2892.614</v>
      </c>
      <c r="U4" s="75">
        <v>2879.1869999999999</v>
      </c>
      <c r="V4" s="69">
        <v>2867.6080000000002</v>
      </c>
      <c r="W4" s="69">
        <v>2803.511</v>
      </c>
      <c r="X4" s="69">
        <v>2787.6329999999998</v>
      </c>
      <c r="Y4" s="69">
        <v>2775.5990000000002</v>
      </c>
      <c r="Z4" s="69">
        <v>2755.9520000000002</v>
      </c>
      <c r="AA4" s="69">
        <v>2735.3989999999999</v>
      </c>
      <c r="AB4" s="69">
        <v>2716.9929999999999</v>
      </c>
      <c r="AC4" s="69">
        <v>2698.6880000000001</v>
      </c>
      <c r="AD4" s="69">
        <v>2672.7089999999998</v>
      </c>
      <c r="AE4" s="69">
        <v>2650.9520000000002</v>
      </c>
      <c r="AF4" s="69">
        <v>2631.4989999999998</v>
      </c>
      <c r="AG4" s="69">
        <v>2614.6970000000001</v>
      </c>
      <c r="AH4" s="69">
        <v>2592.569</v>
      </c>
      <c r="AI4" s="69">
        <v>2570.8069999999998</v>
      </c>
      <c r="AJ4" s="69">
        <v>2545.7710000000002</v>
      </c>
      <c r="AK4" s="69">
        <v>2553.355</v>
      </c>
      <c r="AL4" s="69">
        <v>2529.1080000000002</v>
      </c>
      <c r="AM4" s="69">
        <v>2482.66</v>
      </c>
      <c r="AN4" s="69">
        <v>2457.4299999999998</v>
      </c>
      <c r="AO4" s="69">
        <v>2433.7310000000002</v>
      </c>
      <c r="AP4" s="69">
        <v>2404.1410000000001</v>
      </c>
      <c r="AQ4" s="69">
        <v>2381.5479999999998</v>
      </c>
      <c r="AR4" s="69">
        <v>2306.489</v>
      </c>
      <c r="AS4" s="69">
        <v>2279.1689999999999</v>
      </c>
      <c r="AT4" s="69">
        <v>2258.6039999999998</v>
      </c>
      <c r="AU4" s="69">
        <v>2208.2040000000002</v>
      </c>
      <c r="AV4" s="69">
        <v>2177.576</v>
      </c>
      <c r="AW4" s="69">
        <v>2140.3539999999998</v>
      </c>
      <c r="AX4" s="69">
        <v>2111.36</v>
      </c>
      <c r="AY4" s="69">
        <v>2042.818</v>
      </c>
      <c r="AZ4" s="69">
        <v>2012.24</v>
      </c>
      <c r="BA4" s="69">
        <v>1984455</v>
      </c>
    </row>
    <row r="5" spans="1:53" x14ac:dyDescent="0.25">
      <c r="A5" s="64"/>
      <c r="B5" s="85"/>
      <c r="C5" s="85"/>
      <c r="D5" s="85"/>
      <c r="E5" s="85"/>
      <c r="F5" s="85"/>
      <c r="G5" s="85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72"/>
      <c r="U5" s="74"/>
      <c r="V5" s="72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</row>
    <row r="6" spans="1:53" x14ac:dyDescent="0.25">
      <c r="A6" s="66" t="s">
        <v>460</v>
      </c>
      <c r="B6" s="296">
        <f>[3]RELEASE!$C$87</f>
        <v>5643.7440000000006</v>
      </c>
      <c r="C6" s="296">
        <v>5638.4979999999996</v>
      </c>
      <c r="D6" s="296">
        <v>5615.4040000000005</v>
      </c>
      <c r="E6" s="296">
        <v>5601.9690000000001</v>
      </c>
      <c r="F6" s="296">
        <v>5589.0160000000005</v>
      </c>
      <c r="G6" s="296">
        <v>5569.259</v>
      </c>
      <c r="H6" s="78">
        <v>5552.47</v>
      </c>
      <c r="I6" s="78">
        <v>5544.1469999999999</v>
      </c>
      <c r="J6" s="78">
        <v>5531.6320000000005</v>
      </c>
      <c r="K6" s="78">
        <v>5511.3860000000004</v>
      </c>
      <c r="L6" s="78">
        <v>5487.9290000000001</v>
      </c>
      <c r="M6" s="78">
        <v>5477.7390000000005</v>
      </c>
      <c r="N6" s="78">
        <v>5457.9960000000001</v>
      </c>
      <c r="O6" s="78">
        <v>5412.5419999999995</v>
      </c>
      <c r="P6" s="78">
        <v>5359.7970000000005</v>
      </c>
      <c r="Q6" s="78">
        <v>5329.7039999999997</v>
      </c>
      <c r="R6" s="78">
        <v>5310.4989999999998</v>
      </c>
      <c r="S6" s="78">
        <v>5289.0969999999998</v>
      </c>
      <c r="T6" s="78">
        <v>5270.027</v>
      </c>
      <c r="U6" s="75">
        <v>5248.902</v>
      </c>
      <c r="V6" s="75">
        <v>5229.2280000000001</v>
      </c>
      <c r="W6" s="69">
        <v>5210.4160000000002</v>
      </c>
      <c r="X6" s="69">
        <v>5205.4930000000004</v>
      </c>
      <c r="Y6" s="69">
        <v>5186.9000000000005</v>
      </c>
      <c r="Z6" s="69">
        <v>5162.1970000000001</v>
      </c>
      <c r="AA6" s="69">
        <v>5143.7560000000003</v>
      </c>
      <c r="AB6" s="69">
        <v>5121.1379999999999</v>
      </c>
      <c r="AC6" s="69">
        <v>5106.241</v>
      </c>
      <c r="AD6" s="69">
        <v>5082.8710000000001</v>
      </c>
      <c r="AE6" s="69">
        <v>5055.87</v>
      </c>
      <c r="AF6" s="69">
        <v>5032.6890000000003</v>
      </c>
      <c r="AG6" s="69">
        <v>5012.7889999999998</v>
      </c>
      <c r="AH6" s="69">
        <v>4991.1360000000004</v>
      </c>
      <c r="AI6" s="69">
        <v>4957.1090000000004</v>
      </c>
      <c r="AJ6" s="69">
        <v>4916.9580000000005</v>
      </c>
      <c r="AK6" s="69">
        <v>4918.143</v>
      </c>
      <c r="AL6" s="69">
        <v>4880.2420000000002</v>
      </c>
      <c r="AM6" s="78">
        <v>4841.1220000000003</v>
      </c>
      <c r="AN6" s="78">
        <v>4799.37</v>
      </c>
      <c r="AO6" s="78">
        <v>4778.085</v>
      </c>
      <c r="AP6" s="75">
        <v>4731.4490000000005</v>
      </c>
      <c r="AQ6" s="75">
        <v>4689.415</v>
      </c>
      <c r="AR6" s="69">
        <v>4641.5969999999998</v>
      </c>
      <c r="AS6" s="69">
        <v>4605.335</v>
      </c>
      <c r="AT6" s="69">
        <v>4571.9549999999999</v>
      </c>
      <c r="AU6" s="69">
        <v>4528.71</v>
      </c>
      <c r="AV6" s="69">
        <v>4481.46</v>
      </c>
      <c r="AW6" s="69">
        <v>4433.2359999999999</v>
      </c>
      <c r="AX6" s="69">
        <v>4402.0569999999998</v>
      </c>
      <c r="AY6" s="69">
        <v>4361.01</v>
      </c>
      <c r="AZ6" s="69">
        <v>4324.835</v>
      </c>
      <c r="BA6" s="69">
        <v>4291.2880000000005</v>
      </c>
    </row>
    <row r="7" spans="1:53" x14ac:dyDescent="0.25">
      <c r="A7" s="64" t="s">
        <v>461</v>
      </c>
      <c r="B7" s="295">
        <f>[3]RELEASE!$C$95</f>
        <v>4051.5920000000001</v>
      </c>
      <c r="C7" s="295">
        <v>4028.0030000000002</v>
      </c>
      <c r="D7" s="295">
        <v>4006.0040000000004</v>
      </c>
      <c r="E7" s="295">
        <v>3988.8469999999998</v>
      </c>
      <c r="F7" s="295">
        <v>3963.4090000000001</v>
      </c>
      <c r="G7" s="295">
        <v>3946.75</v>
      </c>
      <c r="H7" s="74">
        <v>3925.9549999999999</v>
      </c>
      <c r="I7" s="74">
        <v>3908.23</v>
      </c>
      <c r="J7" s="74">
        <v>3888.0239999999999</v>
      </c>
      <c r="K7" s="74">
        <v>3871.0809999999997</v>
      </c>
      <c r="L7" s="74">
        <v>3807.8530000000001</v>
      </c>
      <c r="M7" s="74">
        <v>3786.165</v>
      </c>
      <c r="N7" s="74">
        <v>3763.6559999999999</v>
      </c>
      <c r="O7" s="74">
        <v>3737.1779999999999</v>
      </c>
      <c r="P7" s="74">
        <v>3710.6410000000001</v>
      </c>
      <c r="Q7" s="74">
        <v>3690.5529999999999</v>
      </c>
      <c r="R7" s="74">
        <v>3676.3340000000003</v>
      </c>
      <c r="S7" s="74">
        <v>3662.8329999999996</v>
      </c>
      <c r="T7" s="74">
        <v>3642.25</v>
      </c>
      <c r="U7" s="74">
        <v>3626.7559999999999</v>
      </c>
      <c r="V7" s="74">
        <v>3611.6870000000004</v>
      </c>
      <c r="W7" s="74">
        <v>3538.5540000000001</v>
      </c>
      <c r="X7" s="74">
        <v>3520.7190000000001</v>
      </c>
      <c r="Y7" s="74">
        <v>3506.5129999999999</v>
      </c>
      <c r="Z7" s="74">
        <v>3482.558</v>
      </c>
      <c r="AA7" s="74">
        <v>3459.5529999999999</v>
      </c>
      <c r="AB7" s="74">
        <v>3438.413</v>
      </c>
      <c r="AC7" s="74">
        <v>3415.7220000000002</v>
      </c>
      <c r="AD7" s="74">
        <v>3385.7280000000001</v>
      </c>
      <c r="AE7" s="74">
        <v>3358.2060000000001</v>
      </c>
      <c r="AF7" s="74">
        <v>3336.9270000000001</v>
      </c>
      <c r="AG7" s="74">
        <v>3314.4369999999999</v>
      </c>
      <c r="AH7" s="74">
        <v>3289.2060000000001</v>
      </c>
      <c r="AI7" s="74">
        <v>3262.0940000000001</v>
      </c>
      <c r="AJ7" s="74">
        <v>3236.605</v>
      </c>
      <c r="AK7" s="74">
        <v>3240.6440000000002</v>
      </c>
      <c r="AL7" s="74">
        <v>3213.07</v>
      </c>
      <c r="AM7" s="74">
        <v>3156.748</v>
      </c>
      <c r="AN7" s="74">
        <v>3128.5039999999999</v>
      </c>
      <c r="AO7" s="74">
        <v>3098.3450000000003</v>
      </c>
      <c r="AP7" s="74">
        <v>3065.0709999999999</v>
      </c>
      <c r="AQ7" s="74">
        <v>3038.3940000000002</v>
      </c>
      <c r="AR7" s="74">
        <v>2951.0349999999999</v>
      </c>
      <c r="AS7" s="74">
        <v>2918.355</v>
      </c>
      <c r="AT7" s="74">
        <v>2893.7710000000002</v>
      </c>
      <c r="AU7" s="74">
        <v>2836.3090000000002</v>
      </c>
      <c r="AV7" s="74">
        <v>2799.5720000000001</v>
      </c>
      <c r="AW7" s="74">
        <v>2757.0450000000001</v>
      </c>
      <c r="AX7" s="74">
        <v>2708.87</v>
      </c>
      <c r="AY7" s="74">
        <v>2630.07</v>
      </c>
      <c r="AZ7" s="74">
        <v>2596.33</v>
      </c>
      <c r="BA7" s="74">
        <v>2564.96</v>
      </c>
    </row>
    <row r="8" spans="1:53" x14ac:dyDescent="0.25">
      <c r="A8" s="66"/>
      <c r="B8" s="296"/>
      <c r="C8" s="296"/>
      <c r="D8" s="296"/>
      <c r="E8" s="296"/>
      <c r="F8" s="296"/>
      <c r="G8" s="296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3"/>
      <c r="U8" s="75"/>
      <c r="V8" s="73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</row>
    <row r="9" spans="1:53" x14ac:dyDescent="0.25">
      <c r="A9" s="64" t="s">
        <v>462</v>
      </c>
      <c r="B9" s="295">
        <f>[3]RELEASE!$C$90</f>
        <v>181144.47544000001</v>
      </c>
      <c r="C9" s="295">
        <v>169592.27499999999</v>
      </c>
      <c r="D9" s="295">
        <v>163330.10042</v>
      </c>
      <c r="E9" s="295">
        <v>162060.23895</v>
      </c>
      <c r="F9" s="295">
        <v>166859.91810000004</v>
      </c>
      <c r="G9" s="295">
        <v>163949</v>
      </c>
      <c r="H9" s="74">
        <v>158565.32310000001</v>
      </c>
      <c r="I9" s="74">
        <v>153298.82654000001</v>
      </c>
      <c r="J9" s="74">
        <v>158286.00543000002</v>
      </c>
      <c r="K9" s="74">
        <v>155415</v>
      </c>
      <c r="L9" s="74">
        <v>154436.6024</v>
      </c>
      <c r="M9" s="74">
        <v>155673.16675999999</v>
      </c>
      <c r="N9" s="74">
        <v>158601.11887000001</v>
      </c>
      <c r="O9" s="74">
        <v>153815.26057999997</v>
      </c>
      <c r="P9" s="74">
        <v>148645.46255000003</v>
      </c>
      <c r="Q9" s="74">
        <v>150055.66081</v>
      </c>
      <c r="R9" s="74">
        <v>155265.73659000001</v>
      </c>
      <c r="S9" s="74">
        <v>149853.61050999997</v>
      </c>
      <c r="T9" s="74">
        <v>146487.12555</v>
      </c>
      <c r="U9" s="74">
        <v>152634.12494000001</v>
      </c>
      <c r="V9" s="70">
        <v>148154.42562000002</v>
      </c>
      <c r="W9" s="70">
        <v>141659.5</v>
      </c>
      <c r="X9" s="70">
        <v>146942.82648000002</v>
      </c>
      <c r="Y9" s="70">
        <v>148704</v>
      </c>
      <c r="Z9" s="70">
        <v>151349</v>
      </c>
      <c r="AA9" s="70">
        <v>146308</v>
      </c>
      <c r="AB9" s="70">
        <v>146321</v>
      </c>
      <c r="AC9" s="70">
        <v>148163</v>
      </c>
      <c r="AD9" s="70">
        <v>151302</v>
      </c>
      <c r="AE9" s="70">
        <v>145041</v>
      </c>
      <c r="AF9" s="70">
        <v>148809</v>
      </c>
      <c r="AG9" s="70">
        <v>148492</v>
      </c>
      <c r="AH9" s="70">
        <v>151859</v>
      </c>
      <c r="AI9" s="70">
        <v>144216</v>
      </c>
      <c r="AJ9" s="70">
        <v>138577</v>
      </c>
      <c r="AK9" s="70">
        <v>151620</v>
      </c>
      <c r="AL9" s="70">
        <v>158063</v>
      </c>
      <c r="AM9" s="70">
        <v>155860</v>
      </c>
      <c r="AN9" s="70">
        <v>160327</v>
      </c>
      <c r="AO9" s="70">
        <v>164405</v>
      </c>
      <c r="AP9" s="70">
        <v>164932</v>
      </c>
      <c r="AQ9" s="70">
        <v>157260</v>
      </c>
      <c r="AR9" s="70">
        <v>158111</v>
      </c>
      <c r="AS9" s="70">
        <v>160900</v>
      </c>
      <c r="AT9" s="70">
        <v>164453</v>
      </c>
      <c r="AU9" s="70">
        <v>157717</v>
      </c>
      <c r="AV9" s="70">
        <v>153470</v>
      </c>
      <c r="AW9" s="70">
        <v>154816</v>
      </c>
      <c r="AX9" s="70">
        <v>155194</v>
      </c>
      <c r="AY9" s="70">
        <v>157750</v>
      </c>
      <c r="AZ9" s="70">
        <v>149752</v>
      </c>
      <c r="BA9" s="70">
        <v>151344</v>
      </c>
    </row>
    <row r="10" spans="1:53" x14ac:dyDescent="0.25">
      <c r="A10" s="78" t="s">
        <v>463</v>
      </c>
      <c r="B10" s="296">
        <f>[3]RELEASE!$C$97</f>
        <v>123857.49034</v>
      </c>
      <c r="C10" s="296">
        <v>116362.55799999999</v>
      </c>
      <c r="D10" s="296">
        <v>112475.36129</v>
      </c>
      <c r="E10" s="296">
        <v>111112.71798999999</v>
      </c>
      <c r="F10" s="296">
        <v>114269.92266</v>
      </c>
      <c r="G10" s="296">
        <v>112059</v>
      </c>
      <c r="H10" s="78">
        <v>109450.21829</v>
      </c>
      <c r="I10" s="78">
        <v>105604.18820999999</v>
      </c>
      <c r="J10" s="78">
        <v>108885.97919</v>
      </c>
      <c r="K10" s="78">
        <v>106043</v>
      </c>
      <c r="L10" s="78">
        <v>105585.64558</v>
      </c>
      <c r="M10" s="78">
        <v>106072.08284</v>
      </c>
      <c r="N10" s="78">
        <v>107107.09796000001</v>
      </c>
      <c r="O10" s="78">
        <v>103847.33430999998</v>
      </c>
      <c r="P10" s="78">
        <v>101306.07664</v>
      </c>
      <c r="Q10" s="78">
        <v>102065.15188999999</v>
      </c>
      <c r="R10" s="78">
        <v>105517.50599000001</v>
      </c>
      <c r="S10" s="78">
        <v>101617.12397</v>
      </c>
      <c r="T10" s="75">
        <v>100160.00966</v>
      </c>
      <c r="U10" s="75">
        <v>102927.29</v>
      </c>
      <c r="V10" s="69">
        <v>100350.14483</v>
      </c>
      <c r="W10" s="69">
        <v>94826.099999999991</v>
      </c>
      <c r="X10" s="69">
        <v>98527.520929999999</v>
      </c>
      <c r="Y10" s="69">
        <v>98806</v>
      </c>
      <c r="Z10" s="69">
        <v>100609</v>
      </c>
      <c r="AA10" s="69">
        <v>97375</v>
      </c>
      <c r="AB10" s="69">
        <v>97901</v>
      </c>
      <c r="AC10" s="69">
        <v>97883</v>
      </c>
      <c r="AD10" s="69">
        <v>100304</v>
      </c>
      <c r="AE10" s="69">
        <v>95884</v>
      </c>
      <c r="AF10" s="69">
        <v>98580</v>
      </c>
      <c r="AG10" s="69">
        <v>97213</v>
      </c>
      <c r="AH10" s="69">
        <v>98572</v>
      </c>
      <c r="AI10" s="69">
        <v>93460</v>
      </c>
      <c r="AJ10" s="69">
        <v>90305</v>
      </c>
      <c r="AK10" s="69">
        <v>96923</v>
      </c>
      <c r="AL10" s="69">
        <v>102891</v>
      </c>
      <c r="AM10" s="69">
        <v>100896</v>
      </c>
      <c r="AN10" s="69">
        <v>103892</v>
      </c>
      <c r="AO10" s="69">
        <v>105375</v>
      </c>
      <c r="AP10" s="69">
        <v>106526</v>
      </c>
      <c r="AQ10" s="69">
        <v>101842</v>
      </c>
      <c r="AR10" s="69">
        <v>102309</v>
      </c>
      <c r="AS10" s="69">
        <v>102064</v>
      </c>
      <c r="AT10" s="69">
        <v>104912</v>
      </c>
      <c r="AU10" s="69">
        <v>99512</v>
      </c>
      <c r="AV10" s="69">
        <v>97655</v>
      </c>
      <c r="AW10" s="69">
        <v>96353</v>
      </c>
      <c r="AX10" s="69">
        <v>95972</v>
      </c>
      <c r="AY10" s="69">
        <v>95715</v>
      </c>
      <c r="AZ10" s="69">
        <v>91347</v>
      </c>
      <c r="BA10" s="69">
        <v>90532</v>
      </c>
    </row>
    <row r="11" spans="1:53" x14ac:dyDescent="0.25">
      <c r="A11" s="64"/>
      <c r="B11" s="85"/>
      <c r="C11" s="85"/>
      <c r="D11" s="85"/>
      <c r="E11" s="85"/>
      <c r="F11" s="85"/>
      <c r="G11" s="85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72"/>
      <c r="U11" s="74"/>
      <c r="V11" s="72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</row>
    <row r="12" spans="1:53" x14ac:dyDescent="0.25">
      <c r="A12" s="66" t="s">
        <v>452</v>
      </c>
      <c r="B12" s="296">
        <f>[3]RELEASE!$C$53</f>
        <v>103210.15036</v>
      </c>
      <c r="C12" s="296">
        <v>89605.646999999997</v>
      </c>
      <c r="D12" s="296">
        <v>85775.708159999995</v>
      </c>
      <c r="E12" s="296">
        <v>85367.57</v>
      </c>
      <c r="F12" s="296">
        <v>83365.149140000023</v>
      </c>
      <c r="G12" s="296">
        <v>73550.695999999996</v>
      </c>
      <c r="H12" s="78">
        <v>73925.187839999999</v>
      </c>
      <c r="I12" s="78">
        <v>80142.798379999993</v>
      </c>
      <c r="J12" s="78">
        <v>86464.895040000003</v>
      </c>
      <c r="K12" s="78">
        <v>82625</v>
      </c>
      <c r="L12" s="78">
        <v>83626.473599999998</v>
      </c>
      <c r="M12" s="78">
        <v>87264.164000000004</v>
      </c>
      <c r="N12" s="78">
        <v>77213.683999999994</v>
      </c>
      <c r="O12" s="78">
        <v>82405.304640000002</v>
      </c>
      <c r="P12" s="78">
        <v>76952.487999999998</v>
      </c>
      <c r="Q12" s="78">
        <v>77597.377999999997</v>
      </c>
      <c r="R12" s="78">
        <v>75327.465880000018</v>
      </c>
      <c r="S12" s="78">
        <v>72739.581120000003</v>
      </c>
      <c r="T12" s="75">
        <v>75871.547000000006</v>
      </c>
      <c r="U12" s="75">
        <v>79411.751999999993</v>
      </c>
      <c r="V12" s="69">
        <v>76192.146440000011</v>
      </c>
      <c r="W12" s="69">
        <v>68900.751359999995</v>
      </c>
      <c r="X12" s="69">
        <v>67458.407000000007</v>
      </c>
      <c r="Y12" s="69">
        <v>73941</v>
      </c>
      <c r="Z12" s="69">
        <v>69388</v>
      </c>
      <c r="AA12" s="69">
        <v>64466</v>
      </c>
      <c r="AB12" s="69">
        <v>62937</v>
      </c>
      <c r="AC12" s="69">
        <v>63945</v>
      </c>
      <c r="AD12" s="69">
        <v>61165</v>
      </c>
      <c r="AE12" s="69">
        <v>59871</v>
      </c>
      <c r="AF12" s="69">
        <v>61175</v>
      </c>
      <c r="AG12" s="69">
        <v>65957</v>
      </c>
      <c r="AH12" s="69">
        <v>61883</v>
      </c>
      <c r="AI12" s="69">
        <v>57085</v>
      </c>
      <c r="AJ12" s="69">
        <v>60184</v>
      </c>
      <c r="AK12" s="69">
        <v>63941</v>
      </c>
      <c r="AL12" s="69">
        <v>64369</v>
      </c>
      <c r="AM12" s="69">
        <v>62616</v>
      </c>
      <c r="AN12" s="69">
        <v>62061</v>
      </c>
      <c r="AO12" s="69">
        <v>62826</v>
      </c>
      <c r="AP12" s="69">
        <v>63431</v>
      </c>
      <c r="AQ12" s="69">
        <v>57622</v>
      </c>
      <c r="AR12" s="69">
        <v>57825</v>
      </c>
      <c r="AS12" s="69">
        <v>58513</v>
      </c>
      <c r="AT12" s="69">
        <v>56666</v>
      </c>
      <c r="AU12" s="69">
        <v>50257</v>
      </c>
      <c r="AV12" s="69">
        <v>52068</v>
      </c>
      <c r="AW12" s="69">
        <v>52101</v>
      </c>
      <c r="AX12" s="69">
        <v>50337</v>
      </c>
      <c r="AY12" s="69">
        <v>40734</v>
      </c>
      <c r="AZ12" s="69">
        <v>43567</v>
      </c>
      <c r="BA12" s="69">
        <v>47573</v>
      </c>
    </row>
    <row r="13" spans="1:53" x14ac:dyDescent="0.25">
      <c r="A13" s="64" t="s">
        <v>464</v>
      </c>
      <c r="B13" s="295">
        <v>290004.46499999997</v>
      </c>
      <c r="C13" s="295">
        <v>279606.288</v>
      </c>
      <c r="D13" s="295">
        <v>274837.71493999998</v>
      </c>
      <c r="E13" s="295">
        <v>267827.44400000002</v>
      </c>
      <c r="F13" s="295">
        <v>265564.68939458614</v>
      </c>
      <c r="G13" s="295">
        <v>271711</v>
      </c>
      <c r="H13" s="77">
        <v>265335.26899999997</v>
      </c>
      <c r="I13" s="77">
        <v>256390.2</v>
      </c>
      <c r="J13" s="77">
        <v>255580.16800000012</v>
      </c>
      <c r="K13" s="77">
        <v>265770</v>
      </c>
      <c r="L13" s="77">
        <v>263449.32199999999</v>
      </c>
      <c r="M13" s="77">
        <v>256674</v>
      </c>
      <c r="N13" s="77">
        <v>259930.41800000001</v>
      </c>
      <c r="O13" s="77">
        <v>259640.614</v>
      </c>
      <c r="P13" s="77">
        <v>250151.163</v>
      </c>
      <c r="Q13" s="77">
        <v>249509.69500000001</v>
      </c>
      <c r="R13" s="77">
        <v>250865.304</v>
      </c>
      <c r="S13" s="77">
        <v>253020.48300000001</v>
      </c>
      <c r="T13" s="74">
        <v>249674.27499999999</v>
      </c>
      <c r="U13" s="74">
        <v>247230.13500000001</v>
      </c>
      <c r="V13" s="70">
        <v>243628.33199999994</v>
      </c>
      <c r="W13" s="70">
        <v>243501.96100000001</v>
      </c>
      <c r="X13" s="70">
        <v>246591.853</v>
      </c>
      <c r="Y13" s="70">
        <v>242270</v>
      </c>
      <c r="Z13" s="70">
        <v>240998.69999999995</v>
      </c>
      <c r="AA13" s="70">
        <v>242893</v>
      </c>
      <c r="AB13" s="70">
        <v>237316</v>
      </c>
      <c r="AC13" s="70">
        <v>238371</v>
      </c>
      <c r="AD13" s="70">
        <v>235869</v>
      </c>
      <c r="AE13" s="70">
        <v>235126</v>
      </c>
      <c r="AF13" s="70">
        <v>234128</v>
      </c>
      <c r="AG13" s="70">
        <v>230174</v>
      </c>
      <c r="AH13" s="70">
        <v>231677</v>
      </c>
      <c r="AI13" s="70">
        <v>225627</v>
      </c>
      <c r="AJ13" s="70">
        <v>223498</v>
      </c>
      <c r="AK13" s="70">
        <v>229682</v>
      </c>
      <c r="AL13" s="70">
        <v>237417</v>
      </c>
      <c r="AM13" s="70">
        <v>244012</v>
      </c>
      <c r="AN13" s="70">
        <v>243534</v>
      </c>
      <c r="AO13" s="70">
        <v>248801</v>
      </c>
      <c r="AP13" s="70">
        <v>246313</v>
      </c>
      <c r="AQ13" s="70">
        <v>247137</v>
      </c>
      <c r="AR13" s="70">
        <v>240159</v>
      </c>
      <c r="AS13" s="70">
        <v>240276</v>
      </c>
      <c r="AT13" s="70">
        <v>246829</v>
      </c>
      <c r="AU13" s="70">
        <v>240336</v>
      </c>
      <c r="AV13" s="70">
        <v>228535</v>
      </c>
      <c r="AW13" s="70">
        <v>233116</v>
      </c>
      <c r="AX13" s="70">
        <v>227369</v>
      </c>
      <c r="AY13" s="70">
        <v>234306</v>
      </c>
      <c r="AZ13" s="70">
        <v>223511</v>
      </c>
      <c r="BA13" s="70">
        <v>225704</v>
      </c>
    </row>
    <row r="14" spans="1:53" x14ac:dyDescent="0.25">
      <c r="A14" s="82"/>
      <c r="B14" s="297"/>
      <c r="C14" s="297"/>
      <c r="D14" s="297"/>
      <c r="E14" s="297"/>
      <c r="F14" s="297"/>
      <c r="G14" s="297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73"/>
      <c r="U14" s="75"/>
      <c r="V14" s="73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</row>
    <row r="15" spans="1:53" x14ac:dyDescent="0.25">
      <c r="A15" s="71" t="s">
        <v>465</v>
      </c>
      <c r="B15" s="295">
        <f>[3]RELEASE!$C$91</f>
        <v>65945.649000000005</v>
      </c>
      <c r="C15" s="295">
        <v>65693.548999999999</v>
      </c>
      <c r="D15" s="295">
        <v>65396.549999999996</v>
      </c>
      <c r="E15" s="295">
        <v>65072.241000000002</v>
      </c>
      <c r="F15" s="295">
        <v>64736.184000000001</v>
      </c>
      <c r="G15" s="295">
        <v>64690.113000000005</v>
      </c>
      <c r="H15" s="74">
        <v>64184.646999999997</v>
      </c>
      <c r="I15" s="74">
        <v>64357.478000000003</v>
      </c>
      <c r="J15" s="74">
        <v>63316.256673903968</v>
      </c>
      <c r="K15" s="74">
        <v>62685</v>
      </c>
      <c r="L15" s="74">
        <v>59473.483999999997</v>
      </c>
      <c r="M15" s="74">
        <v>59010.444000000003</v>
      </c>
      <c r="N15" s="74">
        <v>54638.400000000001</v>
      </c>
      <c r="O15" s="74">
        <v>56682.262999999999</v>
      </c>
      <c r="P15" s="74">
        <v>56456.843000000001</v>
      </c>
      <c r="Q15" s="74">
        <v>56472.955999999998</v>
      </c>
      <c r="R15" s="74">
        <v>55837.356999999996</v>
      </c>
      <c r="S15" s="74">
        <v>55623.717000000004</v>
      </c>
      <c r="T15" s="74">
        <v>55335.29</v>
      </c>
      <c r="U15" s="74">
        <v>55450.924999999996</v>
      </c>
      <c r="V15" s="63">
        <v>54906.14</v>
      </c>
      <c r="W15" s="63">
        <v>53620.692000000003</v>
      </c>
      <c r="X15" s="63">
        <v>53488.502</v>
      </c>
      <c r="Y15" s="70">
        <v>53182</v>
      </c>
      <c r="Z15" s="70">
        <v>53123</v>
      </c>
      <c r="AA15" s="70">
        <v>52956</v>
      </c>
      <c r="AB15" s="70">
        <v>52747</v>
      </c>
      <c r="AC15" s="70">
        <v>52512</v>
      </c>
      <c r="AD15" s="70">
        <v>51688</v>
      </c>
      <c r="AE15" s="70">
        <v>51436</v>
      </c>
      <c r="AF15" s="70">
        <v>51269</v>
      </c>
      <c r="AG15" s="70">
        <v>50928</v>
      </c>
      <c r="AH15" s="70">
        <v>49886</v>
      </c>
      <c r="AI15" s="70">
        <v>49135</v>
      </c>
      <c r="AJ15" s="70">
        <v>48865</v>
      </c>
      <c r="AK15" s="70">
        <v>48805</v>
      </c>
      <c r="AL15" s="70">
        <v>48531</v>
      </c>
      <c r="AM15" s="70">
        <v>48151</v>
      </c>
      <c r="AN15" s="70">
        <v>47474</v>
      </c>
      <c r="AO15" s="70">
        <v>47053</v>
      </c>
      <c r="AP15" s="70">
        <v>46620</v>
      </c>
      <c r="AQ15" s="70">
        <v>45792</v>
      </c>
      <c r="AR15" s="70">
        <v>45417</v>
      </c>
      <c r="AS15" s="70">
        <v>44927</v>
      </c>
      <c r="AT15" s="70">
        <v>44864</v>
      </c>
      <c r="AU15" s="70">
        <v>44673</v>
      </c>
      <c r="AV15" s="70">
        <v>44476</v>
      </c>
      <c r="AW15" s="70">
        <v>44270</v>
      </c>
      <c r="AX15" s="70">
        <v>43906</v>
      </c>
      <c r="AY15" s="70">
        <v>43538</v>
      </c>
      <c r="AZ15" s="70">
        <v>43325</v>
      </c>
      <c r="BA15" s="70">
        <v>43325</v>
      </c>
    </row>
    <row r="16" spans="1:53" x14ac:dyDescent="0.25">
      <c r="A16" s="82" t="s">
        <v>466</v>
      </c>
      <c r="B16" s="296">
        <f>[3]RELEASE!$C$98</f>
        <v>33666.353810000001</v>
      </c>
      <c r="C16" s="296">
        <v>33532.044999999998</v>
      </c>
      <c r="D16" s="296">
        <v>33276.460999999996</v>
      </c>
      <c r="E16" s="296">
        <v>33088.535000000003</v>
      </c>
      <c r="F16" s="296">
        <v>33439.810809999995</v>
      </c>
      <c r="G16" s="296">
        <v>32735.144999999997</v>
      </c>
      <c r="H16" s="75">
        <v>32546.153000000002</v>
      </c>
      <c r="I16" s="75">
        <v>32498.668000000001</v>
      </c>
      <c r="J16" s="75">
        <v>32375.598673931003</v>
      </c>
      <c r="K16" s="75">
        <v>32143</v>
      </c>
      <c r="L16" s="75">
        <v>30384.883000000002</v>
      </c>
      <c r="M16" s="75">
        <v>28835.954000000002</v>
      </c>
      <c r="N16" s="75">
        <v>27691.15</v>
      </c>
      <c r="O16" s="75">
        <v>28956.142</v>
      </c>
      <c r="P16" s="75">
        <v>28766.875</v>
      </c>
      <c r="Q16" s="75">
        <v>28392.967999999997</v>
      </c>
      <c r="R16" s="75">
        <v>28166.272000000001</v>
      </c>
      <c r="S16" s="75">
        <v>28031.3</v>
      </c>
      <c r="T16" s="75">
        <v>27659.151000000002</v>
      </c>
      <c r="U16" s="75">
        <v>28375.267</v>
      </c>
      <c r="V16" s="65">
        <v>28103.257000000001</v>
      </c>
      <c r="W16" s="65">
        <v>27992.799999999999</v>
      </c>
      <c r="X16" s="65">
        <v>26882.14</v>
      </c>
      <c r="Y16" s="69">
        <v>26973</v>
      </c>
      <c r="Z16" s="69">
        <v>26613</v>
      </c>
      <c r="AA16" s="69">
        <v>26012</v>
      </c>
      <c r="AB16" s="69">
        <v>25916</v>
      </c>
      <c r="AC16" s="69">
        <v>25795</v>
      </c>
      <c r="AD16" s="69">
        <v>25151</v>
      </c>
      <c r="AE16" s="69">
        <v>24863</v>
      </c>
      <c r="AF16" s="69">
        <v>24669</v>
      </c>
      <c r="AG16" s="69">
        <v>24511</v>
      </c>
      <c r="AH16" s="69">
        <v>24125</v>
      </c>
      <c r="AI16" s="69">
        <v>23698</v>
      </c>
      <c r="AJ16" s="69">
        <v>23476</v>
      </c>
      <c r="AK16" s="69">
        <v>23526</v>
      </c>
      <c r="AL16" s="69">
        <v>23375</v>
      </c>
      <c r="AM16" s="69">
        <v>23092</v>
      </c>
      <c r="AN16" s="69">
        <v>22771</v>
      </c>
      <c r="AO16" s="69">
        <v>22459</v>
      </c>
      <c r="AP16" s="69">
        <v>22138</v>
      </c>
      <c r="AQ16" s="69">
        <v>21523</v>
      </c>
      <c r="AR16" s="69">
        <v>20794</v>
      </c>
      <c r="AS16" s="69">
        <v>20216</v>
      </c>
      <c r="AT16" s="69">
        <v>20093</v>
      </c>
      <c r="AU16" s="69">
        <v>20794</v>
      </c>
      <c r="AV16" s="69">
        <v>18569</v>
      </c>
      <c r="AW16" s="69">
        <v>18360</v>
      </c>
      <c r="AX16" s="69">
        <v>18105</v>
      </c>
      <c r="AY16" s="69">
        <v>17364</v>
      </c>
      <c r="AZ16" s="69">
        <v>16499</v>
      </c>
      <c r="BA16" s="69">
        <v>16406</v>
      </c>
    </row>
    <row r="17" spans="1:53" s="208" customFormat="1" x14ac:dyDescent="0.25">
      <c r="A17" s="82"/>
      <c r="B17" s="297"/>
      <c r="C17" s="297"/>
      <c r="D17" s="297"/>
      <c r="E17" s="297"/>
      <c r="F17" s="297"/>
      <c r="G17" s="297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73"/>
      <c r="U17" s="75"/>
      <c r="V17" s="73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</row>
    <row r="18" spans="1:53" x14ac:dyDescent="0.25">
      <c r="A18" s="71" t="s">
        <v>453</v>
      </c>
      <c r="B18" s="295">
        <f>[3]RELEASE!$C$104</f>
        <v>9542</v>
      </c>
      <c r="C18" s="295">
        <v>9796</v>
      </c>
      <c r="D18" s="295">
        <v>10179</v>
      </c>
      <c r="E18" s="295">
        <v>10183</v>
      </c>
      <c r="F18" s="295">
        <v>10185</v>
      </c>
      <c r="G18" s="295">
        <v>10149</v>
      </c>
      <c r="H18" s="74">
        <v>10125</v>
      </c>
      <c r="I18" s="74">
        <v>10095</v>
      </c>
      <c r="J18" s="74">
        <v>10692</v>
      </c>
      <c r="K18" s="74">
        <v>11212</v>
      </c>
      <c r="L18" s="74">
        <v>11276</v>
      </c>
      <c r="M18" s="74">
        <v>11320</v>
      </c>
      <c r="N18" s="74">
        <v>11393</v>
      </c>
      <c r="O18" s="74">
        <v>11442</v>
      </c>
      <c r="P18" s="74">
        <v>11454</v>
      </c>
      <c r="Q18" s="74">
        <v>11481</v>
      </c>
      <c r="R18" s="74">
        <v>11525</v>
      </c>
      <c r="S18" s="74">
        <v>11551</v>
      </c>
      <c r="T18" s="74">
        <v>11558</v>
      </c>
      <c r="U18" s="74">
        <v>11534</v>
      </c>
      <c r="V18" s="70">
        <v>11547</v>
      </c>
      <c r="W18" s="70">
        <v>11516</v>
      </c>
      <c r="X18" s="70">
        <v>11356</v>
      </c>
      <c r="Y18" s="70">
        <v>11259</v>
      </c>
      <c r="Z18" s="70">
        <v>11262</v>
      </c>
      <c r="AA18" s="70">
        <v>11260</v>
      </c>
      <c r="AB18" s="70">
        <v>11267</v>
      </c>
      <c r="AC18" s="70">
        <v>11326</v>
      </c>
      <c r="AD18" s="70">
        <v>11325</v>
      </c>
      <c r="AE18" s="70">
        <v>11293</v>
      </c>
      <c r="AF18" s="70">
        <v>11240</v>
      </c>
      <c r="AG18" s="70">
        <v>11261</v>
      </c>
      <c r="AH18" s="70">
        <v>11986</v>
      </c>
      <c r="AI18" s="70">
        <v>12098</v>
      </c>
      <c r="AJ18" s="70">
        <v>12272</v>
      </c>
      <c r="AK18" s="70">
        <v>12549</v>
      </c>
      <c r="AL18" s="70">
        <v>12540</v>
      </c>
      <c r="AM18" s="70">
        <v>12136</v>
      </c>
      <c r="AN18" s="70">
        <v>11920</v>
      </c>
      <c r="AO18" s="70">
        <v>11857</v>
      </c>
      <c r="AP18" s="70">
        <v>11865</v>
      </c>
      <c r="AQ18" s="70">
        <v>11911</v>
      </c>
      <c r="AR18" s="70">
        <v>11827</v>
      </c>
      <c r="AS18" s="70">
        <v>11548</v>
      </c>
      <c r="AT18" s="70">
        <v>11611</v>
      </c>
      <c r="AU18" s="70">
        <v>11827</v>
      </c>
      <c r="AV18" s="70">
        <v>11518</v>
      </c>
      <c r="AW18" s="70">
        <v>11508</v>
      </c>
      <c r="AX18" s="70">
        <v>11536</v>
      </c>
      <c r="AY18" s="70">
        <v>11482</v>
      </c>
      <c r="AZ18" s="70">
        <v>11430</v>
      </c>
      <c r="BA18" s="70">
        <v>11394</v>
      </c>
    </row>
    <row r="19" spans="1:53" x14ac:dyDescent="0.25">
      <c r="A19" s="82"/>
      <c r="B19" s="297"/>
      <c r="C19" s="297"/>
      <c r="D19" s="297"/>
      <c r="E19" s="297"/>
      <c r="F19" s="297"/>
      <c r="G19" s="297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73"/>
      <c r="U19" s="75"/>
      <c r="V19" s="73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</row>
    <row r="20" spans="1:53" x14ac:dyDescent="0.25">
      <c r="A20" s="71" t="s">
        <v>467</v>
      </c>
      <c r="B20" s="85">
        <f>[3]RELEASE!C27</f>
        <v>638</v>
      </c>
      <c r="C20" s="85">
        <v>640</v>
      </c>
      <c r="D20" s="85">
        <v>640</v>
      </c>
      <c r="E20" s="85">
        <v>640</v>
      </c>
      <c r="F20" s="85">
        <v>640</v>
      </c>
      <c r="G20" s="85">
        <v>640</v>
      </c>
      <c r="H20" s="72">
        <v>640</v>
      </c>
      <c r="I20" s="72">
        <v>640</v>
      </c>
      <c r="J20" s="72">
        <v>640</v>
      </c>
      <c r="K20" s="72">
        <v>640</v>
      </c>
      <c r="L20" s="72">
        <v>640</v>
      </c>
      <c r="M20" s="72">
        <v>640</v>
      </c>
      <c r="N20" s="72">
        <v>640</v>
      </c>
      <c r="O20" s="72">
        <v>640</v>
      </c>
      <c r="P20" s="72">
        <v>641</v>
      </c>
      <c r="Q20" s="72">
        <v>641</v>
      </c>
      <c r="R20" s="72">
        <v>641</v>
      </c>
      <c r="S20" s="72">
        <v>641</v>
      </c>
      <c r="T20" s="72">
        <v>642</v>
      </c>
      <c r="U20" s="74">
        <v>639</v>
      </c>
      <c r="V20" s="72">
        <v>638</v>
      </c>
      <c r="W20" s="67">
        <v>636</v>
      </c>
      <c r="X20" s="67">
        <v>636</v>
      </c>
      <c r="Y20" s="67">
        <v>636</v>
      </c>
      <c r="Z20" s="67">
        <v>636</v>
      </c>
      <c r="AA20" s="67">
        <v>636</v>
      </c>
      <c r="AB20" s="67">
        <v>635</v>
      </c>
      <c r="AC20" s="67">
        <v>635</v>
      </c>
      <c r="AD20" s="67">
        <v>635</v>
      </c>
      <c r="AE20" s="67">
        <v>634</v>
      </c>
      <c r="AF20" s="67">
        <v>634</v>
      </c>
      <c r="AG20" s="67">
        <v>634</v>
      </c>
      <c r="AH20" s="67">
        <v>634</v>
      </c>
      <c r="AI20" s="67">
        <v>634</v>
      </c>
      <c r="AJ20" s="67">
        <v>634</v>
      </c>
      <c r="AK20" s="67">
        <v>635</v>
      </c>
      <c r="AL20" s="67">
        <v>635</v>
      </c>
      <c r="AM20" s="67">
        <v>631</v>
      </c>
      <c r="AN20" s="67">
        <v>631</v>
      </c>
      <c r="AO20" s="67">
        <v>626</v>
      </c>
      <c r="AP20" s="67">
        <v>626</v>
      </c>
      <c r="AQ20" s="67">
        <v>626</v>
      </c>
      <c r="AR20" s="67">
        <v>625</v>
      </c>
      <c r="AS20" s="67">
        <v>625</v>
      </c>
      <c r="AT20" s="67">
        <v>625</v>
      </c>
      <c r="AU20" s="67">
        <v>624</v>
      </c>
      <c r="AV20" s="67">
        <v>624</v>
      </c>
      <c r="AW20" s="67">
        <v>622</v>
      </c>
      <c r="AX20" s="67">
        <v>620</v>
      </c>
      <c r="AY20" s="67">
        <v>619</v>
      </c>
      <c r="AZ20" s="67">
        <v>618</v>
      </c>
      <c r="BA20" s="67">
        <v>617</v>
      </c>
    </row>
    <row r="21" spans="1:53" x14ac:dyDescent="0.25">
      <c r="A21" s="82" t="s">
        <v>468</v>
      </c>
      <c r="B21" s="296">
        <f>[3]RELEASE!C28</f>
        <v>633</v>
      </c>
      <c r="C21" s="296">
        <v>633</v>
      </c>
      <c r="D21" s="296">
        <v>632</v>
      </c>
      <c r="E21" s="296">
        <v>632</v>
      </c>
      <c r="F21" s="296">
        <v>632</v>
      </c>
      <c r="G21" s="296">
        <v>632</v>
      </c>
      <c r="H21" s="75">
        <v>632</v>
      </c>
      <c r="I21" s="75">
        <v>631</v>
      </c>
      <c r="J21" s="75">
        <v>631</v>
      </c>
      <c r="K21" s="75">
        <v>631</v>
      </c>
      <c r="L21" s="75">
        <v>631</v>
      </c>
      <c r="M21" s="75">
        <v>631</v>
      </c>
      <c r="N21" s="75">
        <v>630</v>
      </c>
      <c r="O21" s="75">
        <v>629</v>
      </c>
      <c r="P21" s="75">
        <v>629</v>
      </c>
      <c r="Q21" s="75">
        <v>629</v>
      </c>
      <c r="R21" s="75">
        <v>629</v>
      </c>
      <c r="S21" s="75">
        <v>629</v>
      </c>
      <c r="T21" s="75">
        <v>629</v>
      </c>
      <c r="U21" s="75">
        <v>629</v>
      </c>
      <c r="V21" s="65">
        <v>629</v>
      </c>
      <c r="W21" s="65">
        <v>628</v>
      </c>
      <c r="X21" s="65">
        <v>628</v>
      </c>
      <c r="Y21" s="69">
        <v>628</v>
      </c>
      <c r="Z21" s="69">
        <v>627</v>
      </c>
      <c r="AA21" s="69">
        <v>626</v>
      </c>
      <c r="AB21" s="69">
        <v>626</v>
      </c>
      <c r="AC21" s="69">
        <v>626</v>
      </c>
      <c r="AD21" s="69">
        <v>626</v>
      </c>
      <c r="AE21" s="69">
        <v>626</v>
      </c>
      <c r="AF21" s="69">
        <v>624</v>
      </c>
      <c r="AG21" s="69">
        <v>623</v>
      </c>
      <c r="AH21" s="69">
        <v>623</v>
      </c>
      <c r="AI21" s="69">
        <v>621</v>
      </c>
      <c r="AJ21" s="69">
        <v>619</v>
      </c>
      <c r="AK21" s="69">
        <v>620</v>
      </c>
      <c r="AL21" s="69">
        <v>618</v>
      </c>
      <c r="AM21" s="69">
        <v>617</v>
      </c>
      <c r="AN21" s="69">
        <v>617</v>
      </c>
      <c r="AO21" s="69">
        <v>617</v>
      </c>
      <c r="AP21" s="69">
        <v>617</v>
      </c>
      <c r="AQ21" s="69">
        <v>615</v>
      </c>
      <c r="AR21" s="69">
        <v>612</v>
      </c>
      <c r="AS21" s="69">
        <v>612</v>
      </c>
      <c r="AT21" s="69">
        <v>612</v>
      </c>
      <c r="AU21" s="69">
        <v>611</v>
      </c>
      <c r="AV21" s="69">
        <v>611</v>
      </c>
      <c r="AW21" s="69">
        <v>611</v>
      </c>
      <c r="AX21" s="69">
        <v>606</v>
      </c>
      <c r="AY21" s="69">
        <v>606</v>
      </c>
      <c r="AZ21" s="69">
        <v>605</v>
      </c>
      <c r="BA21" s="69">
        <v>603</v>
      </c>
    </row>
    <row r="22" spans="1:53" x14ac:dyDescent="0.25">
      <c r="A22" s="71" t="s">
        <v>469</v>
      </c>
      <c r="B22" s="295">
        <f>[3]RELEASE!$C$30</f>
        <v>309</v>
      </c>
      <c r="C22" s="295">
        <v>309</v>
      </c>
      <c r="D22" s="295">
        <v>309</v>
      </c>
      <c r="E22" s="295">
        <v>309</v>
      </c>
      <c r="F22" s="295">
        <v>309</v>
      </c>
      <c r="G22" s="295">
        <v>310</v>
      </c>
      <c r="H22" s="74">
        <v>310</v>
      </c>
      <c r="I22" s="74">
        <v>310</v>
      </c>
      <c r="J22" s="74">
        <v>310</v>
      </c>
      <c r="K22" s="74">
        <v>310</v>
      </c>
      <c r="L22" s="74">
        <v>310</v>
      </c>
      <c r="M22" s="74">
        <v>310</v>
      </c>
      <c r="N22" s="74">
        <v>310</v>
      </c>
      <c r="O22" s="74">
        <v>310</v>
      </c>
      <c r="P22" s="74">
        <v>311</v>
      </c>
      <c r="Q22" s="74">
        <v>311</v>
      </c>
      <c r="R22" s="74">
        <v>311</v>
      </c>
      <c r="S22" s="74">
        <v>311</v>
      </c>
      <c r="T22" s="74">
        <v>311</v>
      </c>
      <c r="U22" s="74">
        <v>309</v>
      </c>
      <c r="V22" s="70">
        <v>307</v>
      </c>
      <c r="W22" s="70">
        <v>304</v>
      </c>
      <c r="X22" s="70">
        <v>303</v>
      </c>
      <c r="Y22" s="70">
        <v>303</v>
      </c>
      <c r="Z22" s="70">
        <v>302</v>
      </c>
      <c r="AA22" s="70">
        <v>300</v>
      </c>
      <c r="AB22" s="70">
        <v>299</v>
      </c>
      <c r="AC22" s="70">
        <v>299</v>
      </c>
      <c r="AD22" s="70">
        <v>299</v>
      </c>
      <c r="AE22" s="70">
        <v>298</v>
      </c>
      <c r="AF22" s="70">
        <v>298</v>
      </c>
      <c r="AG22" s="70">
        <v>294</v>
      </c>
      <c r="AH22" s="70">
        <v>294</v>
      </c>
      <c r="AI22" s="70">
        <v>292</v>
      </c>
      <c r="AJ22" s="70">
        <v>287</v>
      </c>
      <c r="AK22" s="70">
        <v>288</v>
      </c>
      <c r="AL22" s="70">
        <v>288</v>
      </c>
      <c r="AM22" s="70">
        <v>288</v>
      </c>
      <c r="AN22" s="70">
        <v>288</v>
      </c>
      <c r="AO22" s="70">
        <v>283</v>
      </c>
      <c r="AP22" s="70">
        <v>283</v>
      </c>
      <c r="AQ22" s="70">
        <v>283</v>
      </c>
      <c r="AR22" s="70">
        <v>279</v>
      </c>
      <c r="AS22" s="70">
        <v>279</v>
      </c>
      <c r="AT22" s="70">
        <v>277</v>
      </c>
      <c r="AU22" s="70">
        <v>239</v>
      </c>
      <c r="AV22" s="70">
        <v>236</v>
      </c>
      <c r="AW22" s="70">
        <v>228</v>
      </c>
      <c r="AX22" s="70">
        <v>225</v>
      </c>
      <c r="AY22" s="70">
        <v>223</v>
      </c>
      <c r="AZ22" s="70">
        <v>220</v>
      </c>
      <c r="BA22" s="70">
        <v>213</v>
      </c>
    </row>
    <row r="23" spans="1:53" x14ac:dyDescent="0.25">
      <c r="A23" s="82" t="s">
        <v>470</v>
      </c>
      <c r="B23" s="297">
        <f>[3]RELEASE!$C$31</f>
        <v>273</v>
      </c>
      <c r="C23" s="297">
        <v>271</v>
      </c>
      <c r="D23" s="297">
        <v>270</v>
      </c>
      <c r="E23" s="297">
        <v>269</v>
      </c>
      <c r="F23" s="297">
        <v>269</v>
      </c>
      <c r="G23" s="297">
        <v>268</v>
      </c>
      <c r="H23" s="73">
        <v>268</v>
      </c>
      <c r="I23" s="73">
        <v>267</v>
      </c>
      <c r="J23" s="73">
        <v>266</v>
      </c>
      <c r="K23" s="73">
        <v>266</v>
      </c>
      <c r="L23" s="73">
        <v>265</v>
      </c>
      <c r="M23" s="73">
        <v>265</v>
      </c>
      <c r="N23" s="73">
        <v>310</v>
      </c>
      <c r="O23" s="73">
        <v>265</v>
      </c>
      <c r="P23" s="73">
        <v>264</v>
      </c>
      <c r="Q23" s="73">
        <v>264</v>
      </c>
      <c r="R23" s="73">
        <v>263</v>
      </c>
      <c r="S23" s="73">
        <v>263</v>
      </c>
      <c r="T23" s="73">
        <v>261</v>
      </c>
      <c r="U23" s="75">
        <v>259</v>
      </c>
      <c r="V23" s="73">
        <v>257</v>
      </c>
      <c r="W23" s="68">
        <v>257</v>
      </c>
      <c r="X23" s="68">
        <v>256</v>
      </c>
      <c r="Y23" s="68">
        <v>255</v>
      </c>
      <c r="Z23" s="68">
        <v>251</v>
      </c>
      <c r="AA23" s="68">
        <v>250</v>
      </c>
      <c r="AB23" s="68">
        <v>250</v>
      </c>
      <c r="AC23" s="68">
        <v>249</v>
      </c>
      <c r="AD23" s="68">
        <v>245</v>
      </c>
      <c r="AE23" s="68">
        <v>243</v>
      </c>
      <c r="AF23" s="68">
        <v>241</v>
      </c>
      <c r="AG23" s="68">
        <v>240</v>
      </c>
      <c r="AH23" s="68">
        <v>240</v>
      </c>
      <c r="AI23" s="68">
        <v>239</v>
      </c>
      <c r="AJ23" s="68">
        <v>233</v>
      </c>
      <c r="AK23" s="68">
        <v>234</v>
      </c>
      <c r="AL23" s="68">
        <v>233</v>
      </c>
      <c r="AM23" s="68">
        <v>227</v>
      </c>
      <c r="AN23" s="68">
        <v>226</v>
      </c>
      <c r="AO23" s="68">
        <v>223</v>
      </c>
      <c r="AP23" s="68">
        <v>223</v>
      </c>
      <c r="AQ23" s="68">
        <v>220</v>
      </c>
      <c r="AR23" s="68">
        <v>210</v>
      </c>
      <c r="AS23" s="68">
        <v>201</v>
      </c>
      <c r="AT23" s="68">
        <v>200</v>
      </c>
      <c r="AU23" s="68">
        <v>180</v>
      </c>
      <c r="AV23" s="68">
        <v>179</v>
      </c>
      <c r="AW23" s="68">
        <v>178</v>
      </c>
      <c r="AX23" s="68">
        <v>176</v>
      </c>
      <c r="AY23" s="68">
        <v>174</v>
      </c>
      <c r="AZ23" s="68">
        <v>167</v>
      </c>
      <c r="BA23" s="68">
        <v>162</v>
      </c>
    </row>
    <row r="24" spans="1:53" x14ac:dyDescent="0.25">
      <c r="A24" s="64"/>
      <c r="B24" s="85"/>
      <c r="C24" s="85"/>
      <c r="D24" s="85"/>
      <c r="E24" s="85"/>
      <c r="F24" s="85"/>
      <c r="G24" s="85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72"/>
      <c r="U24" s="74"/>
      <c r="V24" s="72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53" x14ac:dyDescent="0.25">
      <c r="A25" s="82" t="s">
        <v>471</v>
      </c>
      <c r="B25" s="296">
        <f>[3]RELEASE!$C$88</f>
        <v>11789.374</v>
      </c>
      <c r="C25" s="296">
        <v>11832.765000000001</v>
      </c>
      <c r="D25" s="296">
        <v>11851.856</v>
      </c>
      <c r="E25" s="296">
        <v>11847.472</v>
      </c>
      <c r="F25" s="296">
        <v>11848.613000000001</v>
      </c>
      <c r="G25" s="296">
        <v>11824.695000000002</v>
      </c>
      <c r="H25" s="78">
        <v>11818.56</v>
      </c>
      <c r="I25" s="78">
        <v>11828.385</v>
      </c>
      <c r="J25" s="78">
        <v>11832.918</v>
      </c>
      <c r="K25" s="78">
        <v>11820.332</v>
      </c>
      <c r="L25" s="78">
        <v>11798.648999999999</v>
      </c>
      <c r="M25" s="78">
        <v>11807.067999999999</v>
      </c>
      <c r="N25" s="78">
        <v>11804.3</v>
      </c>
      <c r="O25" s="78">
        <v>11769.684000000001</v>
      </c>
      <c r="P25" s="78">
        <v>11663.109999999999</v>
      </c>
      <c r="Q25" s="78">
        <v>11617.855</v>
      </c>
      <c r="R25" s="78">
        <v>11607.656999999999</v>
      </c>
      <c r="S25" s="78">
        <v>11581.880999999999</v>
      </c>
      <c r="T25" s="75">
        <v>11589.076000000001</v>
      </c>
      <c r="U25" s="75">
        <v>11573.67</v>
      </c>
      <c r="V25" s="69">
        <v>11569.938</v>
      </c>
      <c r="W25" s="69">
        <v>11538.147000000001</v>
      </c>
      <c r="X25" s="69">
        <v>11550.261999999999</v>
      </c>
      <c r="Y25" s="69">
        <v>11541.4</v>
      </c>
      <c r="Z25" s="69">
        <v>11531.119000000001</v>
      </c>
      <c r="AA25" s="69">
        <v>11517.251999999999</v>
      </c>
      <c r="AB25" s="69">
        <v>11506.989000000001</v>
      </c>
      <c r="AC25" s="69">
        <v>11506.28</v>
      </c>
      <c r="AD25" s="69">
        <v>11539.349</v>
      </c>
      <c r="AE25" s="69">
        <v>11493.933000000001</v>
      </c>
      <c r="AF25" s="69">
        <v>11470.094000000001</v>
      </c>
      <c r="AG25" s="69">
        <v>11472.528999999999</v>
      </c>
      <c r="AH25" s="69">
        <v>11270</v>
      </c>
      <c r="AI25" s="69">
        <v>11239</v>
      </c>
      <c r="AJ25" s="69">
        <v>11200</v>
      </c>
      <c r="AK25" s="69">
        <v>11245</v>
      </c>
      <c r="AL25" s="69">
        <v>11221</v>
      </c>
      <c r="AM25" s="69">
        <v>11187</v>
      </c>
      <c r="AN25" s="69">
        <v>11150</v>
      </c>
      <c r="AO25" s="69">
        <v>11147</v>
      </c>
      <c r="AP25" s="69">
        <v>11125</v>
      </c>
      <c r="AQ25" s="69">
        <v>11071</v>
      </c>
      <c r="AR25" s="69">
        <v>11023</v>
      </c>
      <c r="AS25" s="69">
        <v>10978</v>
      </c>
      <c r="AT25" s="69">
        <v>10970</v>
      </c>
      <c r="AU25" s="69">
        <v>10913</v>
      </c>
      <c r="AV25" s="69">
        <v>10844</v>
      </c>
      <c r="AW25" s="69">
        <v>10774</v>
      </c>
      <c r="AX25" s="69">
        <v>10755</v>
      </c>
      <c r="AY25" s="69">
        <v>10695</v>
      </c>
      <c r="AZ25" s="69">
        <v>10664</v>
      </c>
      <c r="BA25" s="69">
        <v>10617</v>
      </c>
    </row>
    <row r="26" spans="1:53" x14ac:dyDescent="0.25">
      <c r="A26" s="64" t="s">
        <v>472</v>
      </c>
      <c r="B26" s="295">
        <f>[3]RELEASE!$C$96</f>
        <v>8602.7029999999995</v>
      </c>
      <c r="C26" s="295">
        <v>8588.3549999999996</v>
      </c>
      <c r="D26" s="295">
        <v>8593.56</v>
      </c>
      <c r="E26" s="295">
        <v>8570.4840000000004</v>
      </c>
      <c r="F26" s="295">
        <v>8538.7150000000001</v>
      </c>
      <c r="G26" s="295">
        <v>8513.4130000000005</v>
      </c>
      <c r="H26" s="77">
        <v>8487.51</v>
      </c>
      <c r="I26" s="77">
        <v>8467.607</v>
      </c>
      <c r="J26" s="77">
        <v>8447.2309999999998</v>
      </c>
      <c r="K26" s="77">
        <v>8411.5949999999993</v>
      </c>
      <c r="L26" s="77">
        <v>8381.1129999999994</v>
      </c>
      <c r="M26" s="77">
        <v>8353.0239999999994</v>
      </c>
      <c r="N26" s="77">
        <v>8331.9500000000007</v>
      </c>
      <c r="O26" s="77">
        <v>8294.4600000000009</v>
      </c>
      <c r="P26" s="77">
        <v>8256.25</v>
      </c>
      <c r="Q26" s="77">
        <v>8221.4850000000006</v>
      </c>
      <c r="R26" s="77">
        <v>8210.509</v>
      </c>
      <c r="S26" s="77">
        <v>8200.366</v>
      </c>
      <c r="T26" s="74">
        <v>8180.3869999999997</v>
      </c>
      <c r="U26" s="74">
        <v>8158.0839999999998</v>
      </c>
      <c r="V26" s="70">
        <v>8146.9680000000008</v>
      </c>
      <c r="W26" s="70">
        <v>7988.058</v>
      </c>
      <c r="X26" s="70">
        <v>7964.2990000000009</v>
      </c>
      <c r="Y26" s="70">
        <v>7852.6</v>
      </c>
      <c r="Z26" s="70">
        <v>7828.2439999999997</v>
      </c>
      <c r="AA26" s="70">
        <v>7805.0429999999997</v>
      </c>
      <c r="AB26" s="70">
        <v>7863.116</v>
      </c>
      <c r="AC26" s="70">
        <v>7832.2519999999995</v>
      </c>
      <c r="AD26" s="70">
        <v>7818.2470000000003</v>
      </c>
      <c r="AE26" s="70">
        <v>7750.8740000000007</v>
      </c>
      <c r="AF26" s="70">
        <v>7722.05</v>
      </c>
      <c r="AG26" s="70">
        <v>7703.6350000000002</v>
      </c>
      <c r="AH26" s="70">
        <v>7593</v>
      </c>
      <c r="AI26" s="70">
        <v>7560</v>
      </c>
      <c r="AJ26" s="70">
        <v>7533</v>
      </c>
      <c r="AK26" s="70">
        <v>7559</v>
      </c>
      <c r="AL26" s="70">
        <v>7538</v>
      </c>
      <c r="AM26" s="70">
        <v>7494</v>
      </c>
      <c r="AN26" s="70">
        <v>7385</v>
      </c>
      <c r="AO26" s="70">
        <v>7348</v>
      </c>
      <c r="AP26" s="70">
        <v>7328</v>
      </c>
      <c r="AQ26" s="70">
        <v>7269</v>
      </c>
      <c r="AR26" s="70">
        <v>7128</v>
      </c>
      <c r="AS26" s="70">
        <v>7062</v>
      </c>
      <c r="AT26" s="70">
        <v>7043</v>
      </c>
      <c r="AU26" s="70">
        <v>6948</v>
      </c>
      <c r="AV26" s="70">
        <v>6902</v>
      </c>
      <c r="AW26" s="70">
        <v>6829</v>
      </c>
      <c r="AX26" s="70">
        <v>6749</v>
      </c>
      <c r="AY26" s="70">
        <v>6641</v>
      </c>
      <c r="AZ26" s="70">
        <v>6567</v>
      </c>
      <c r="BA26" s="70">
        <v>6440</v>
      </c>
    </row>
    <row r="27" spans="1:53" x14ac:dyDescent="0.25">
      <c r="A27" s="66"/>
      <c r="B27" s="297"/>
      <c r="C27" s="297"/>
      <c r="D27" s="297"/>
      <c r="E27" s="297"/>
      <c r="F27" s="297"/>
      <c r="G27" s="297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73"/>
      <c r="U27" s="75"/>
      <c r="V27" s="73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pans="1:53" ht="17.25" x14ac:dyDescent="0.25">
      <c r="A28" s="64" t="s">
        <v>454</v>
      </c>
      <c r="B28" s="298">
        <f>[3]RELEASE!$C$57</f>
        <v>93.1</v>
      </c>
      <c r="C28" s="298">
        <v>93.9</v>
      </c>
      <c r="D28" s="298">
        <v>90.2</v>
      </c>
      <c r="E28" s="298">
        <v>90.35</v>
      </c>
      <c r="F28" s="298">
        <v>92.4</v>
      </c>
      <c r="G28" s="298">
        <v>92.65</v>
      </c>
      <c r="H28" s="79">
        <v>89.9</v>
      </c>
      <c r="I28" s="79">
        <v>90.45</v>
      </c>
      <c r="J28" s="79">
        <v>91.65</v>
      </c>
      <c r="K28" s="79">
        <v>90.6</v>
      </c>
      <c r="L28" s="79">
        <v>91.4</v>
      </c>
      <c r="M28" s="79">
        <v>91.85</v>
      </c>
      <c r="N28" s="79">
        <v>89.4</v>
      </c>
      <c r="O28" s="79">
        <v>91.15</v>
      </c>
      <c r="P28" s="79">
        <v>92.1</v>
      </c>
      <c r="Q28" s="79">
        <v>91.9</v>
      </c>
      <c r="R28" s="79">
        <v>91</v>
      </c>
      <c r="S28" s="79">
        <v>92.2</v>
      </c>
      <c r="T28" s="76">
        <v>90.9</v>
      </c>
      <c r="U28" s="76">
        <v>91.3</v>
      </c>
      <c r="V28" s="76">
        <v>91.75</v>
      </c>
      <c r="W28" s="83">
        <v>89.15</v>
      </c>
      <c r="X28" s="83">
        <v>92.1</v>
      </c>
      <c r="Y28" s="83">
        <v>91.75</v>
      </c>
      <c r="Z28" s="83">
        <v>92.4</v>
      </c>
      <c r="AA28" s="84">
        <v>91.35</v>
      </c>
      <c r="AB28" s="83">
        <v>90.95</v>
      </c>
      <c r="AC28" s="83">
        <v>89.25</v>
      </c>
      <c r="AD28" s="83">
        <v>92.4</v>
      </c>
      <c r="AE28" s="83">
        <v>90.350000000000009</v>
      </c>
      <c r="AF28" s="83">
        <v>90.95</v>
      </c>
      <c r="AG28" s="83">
        <v>91.65</v>
      </c>
      <c r="AH28" s="83">
        <v>90.95</v>
      </c>
      <c r="AI28" s="83">
        <v>92.25</v>
      </c>
      <c r="AJ28" s="83">
        <v>90.550000000000011</v>
      </c>
      <c r="AK28" s="83">
        <v>90.2</v>
      </c>
      <c r="AL28" s="83">
        <v>91.8</v>
      </c>
      <c r="AM28" s="83">
        <v>90.7</v>
      </c>
      <c r="AN28" s="83">
        <v>92</v>
      </c>
      <c r="AO28" s="83">
        <v>88.85</v>
      </c>
      <c r="AP28" s="83">
        <v>92.45</v>
      </c>
      <c r="AQ28" s="83">
        <v>89.8</v>
      </c>
      <c r="AR28" s="83">
        <v>92.2</v>
      </c>
      <c r="AS28" s="83">
        <v>89.5</v>
      </c>
      <c r="AT28" s="83">
        <v>91.550000000000011</v>
      </c>
      <c r="AU28" s="83">
        <v>91.45</v>
      </c>
      <c r="AV28" s="83">
        <v>91.5</v>
      </c>
      <c r="AW28" s="83">
        <v>90</v>
      </c>
      <c r="AX28" s="83">
        <v>92.4</v>
      </c>
      <c r="AY28" s="83">
        <v>93</v>
      </c>
      <c r="AZ28" s="83">
        <v>90.899999999999991</v>
      </c>
      <c r="BA28" s="83">
        <v>89.1</v>
      </c>
    </row>
    <row r="29" spans="1:53" s="208" customFormat="1" x14ac:dyDescent="0.25">
      <c r="A29" s="66"/>
      <c r="B29" s="297"/>
      <c r="C29" s="297"/>
      <c r="D29" s="297"/>
      <c r="E29" s="297"/>
      <c r="F29" s="297"/>
      <c r="G29" s="297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73"/>
      <c r="U29" s="75"/>
      <c r="V29" s="73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</row>
    <row r="30" spans="1:53" x14ac:dyDescent="0.25">
      <c r="A30" s="92" t="s">
        <v>248</v>
      </c>
      <c r="B30" s="299"/>
      <c r="C30" s="299"/>
      <c r="D30" s="299"/>
      <c r="E30" s="299"/>
      <c r="F30" s="299"/>
      <c r="G30" s="299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4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6"/>
      <c r="AQ30" s="96"/>
      <c r="AR30" s="96"/>
      <c r="AS30" s="96"/>
      <c r="AT30" s="96"/>
      <c r="AU30" s="96"/>
      <c r="AV30" s="96"/>
      <c r="AW30" s="96"/>
      <c r="AX30" s="96"/>
      <c r="AY30" s="97"/>
      <c r="AZ30" s="97"/>
      <c r="BA30" s="97"/>
    </row>
    <row r="31" spans="1:53" x14ac:dyDescent="0.25">
      <c r="A31" s="86" t="s">
        <v>455</v>
      </c>
      <c r="B31" s="300"/>
      <c r="C31" s="300"/>
      <c r="D31" s="301"/>
      <c r="E31" s="301"/>
      <c r="F31" s="300"/>
      <c r="G31" s="300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90"/>
      <c r="AQ31" s="90"/>
      <c r="AR31" s="90"/>
      <c r="AS31" s="90"/>
      <c r="AT31" s="90"/>
      <c r="AU31" s="90"/>
      <c r="AV31" s="90"/>
      <c r="AW31" s="90"/>
      <c r="AX31" s="90"/>
      <c r="AY31" s="91"/>
      <c r="AZ31" s="91"/>
      <c r="BA31" s="91"/>
    </row>
    <row r="32" spans="1:53" x14ac:dyDescent="0.25">
      <c r="A32" s="62"/>
      <c r="G32" s="303"/>
      <c r="H32" s="81"/>
      <c r="I32" s="81"/>
      <c r="J32" s="8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</row>
    <row r="33" spans="8:53" x14ac:dyDescent="0.25"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</row>
    <row r="34" spans="8:53" x14ac:dyDescent="0.25"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</row>
  </sheetData>
  <mergeCells count="1">
    <mergeCell ref="J1:AK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LI61"/>
  <sheetViews>
    <sheetView workbookViewId="0">
      <selection activeCell="A10" sqref="A10"/>
    </sheetView>
  </sheetViews>
  <sheetFormatPr defaultRowHeight="15" x14ac:dyDescent="0.25"/>
  <cols>
    <col min="1" max="1" width="31.85546875" customWidth="1"/>
    <col min="2" max="2" width="14.7109375" style="208" bestFit="1" customWidth="1"/>
    <col min="3" max="3" width="6.42578125" style="208" customWidth="1"/>
    <col min="4" max="4" width="9.140625" style="208" customWidth="1"/>
    <col min="5" max="5" width="9.140625" style="98" customWidth="1"/>
  </cols>
  <sheetData>
    <row r="1" spans="1:321" ht="83.45" customHeight="1" x14ac:dyDescent="0.25">
      <c r="A1" s="108"/>
      <c r="B1" s="108"/>
      <c r="C1" s="108"/>
      <c r="D1" s="108"/>
      <c r="E1" s="108"/>
      <c r="F1" s="142"/>
      <c r="G1" s="108"/>
      <c r="H1" s="108"/>
      <c r="I1" s="108"/>
      <c r="J1" s="108"/>
      <c r="K1" s="108"/>
      <c r="L1" s="358" t="s">
        <v>184</v>
      </c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99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</row>
    <row r="2" spans="1:321" ht="28.5" customHeight="1" x14ac:dyDescent="0.25">
      <c r="A2" s="274" t="s">
        <v>249</v>
      </c>
      <c r="B2" s="275" t="s">
        <v>447</v>
      </c>
      <c r="C2" s="275" t="s">
        <v>407</v>
      </c>
      <c r="D2" s="275" t="s">
        <v>404</v>
      </c>
      <c r="E2" s="275" t="s">
        <v>140</v>
      </c>
      <c r="F2" s="275" t="s">
        <v>136</v>
      </c>
      <c r="G2" s="275" t="s">
        <v>133</v>
      </c>
      <c r="H2" s="275" t="s">
        <v>73</v>
      </c>
      <c r="I2" s="275" t="s">
        <v>72</v>
      </c>
      <c r="J2" s="275" t="s">
        <v>69</v>
      </c>
      <c r="K2" s="275" t="s">
        <v>70</v>
      </c>
      <c r="L2" s="275" t="s">
        <v>67</v>
      </c>
      <c r="M2" s="275" t="s">
        <v>66</v>
      </c>
      <c r="N2" s="275" t="s">
        <v>63</v>
      </c>
      <c r="O2" s="275" t="s">
        <v>61</v>
      </c>
      <c r="P2" s="275" t="s">
        <v>60</v>
      </c>
      <c r="Q2" s="275" t="s">
        <v>59</v>
      </c>
      <c r="R2" s="275" t="s">
        <v>58</v>
      </c>
      <c r="S2" s="275" t="s">
        <v>57</v>
      </c>
      <c r="T2" s="275" t="s">
        <v>56</v>
      </c>
      <c r="U2" s="275" t="s">
        <v>55</v>
      </c>
      <c r="V2" s="275" t="s">
        <v>31</v>
      </c>
      <c r="W2" s="275" t="s">
        <v>29</v>
      </c>
      <c r="X2" s="275" t="s">
        <v>22</v>
      </c>
      <c r="Y2" s="275" t="s">
        <v>13</v>
      </c>
      <c r="Z2" s="275" t="s">
        <v>14</v>
      </c>
      <c r="AA2" s="275" t="s">
        <v>15</v>
      </c>
      <c r="AB2" s="275" t="s">
        <v>16</v>
      </c>
      <c r="AC2" s="275" t="s">
        <v>11</v>
      </c>
      <c r="AD2" s="275" t="s">
        <v>17</v>
      </c>
      <c r="AE2" s="275" t="s">
        <v>18</v>
      </c>
      <c r="AF2" s="275" t="s">
        <v>19</v>
      </c>
      <c r="AG2" s="275" t="s">
        <v>3</v>
      </c>
      <c r="AH2" s="275" t="s">
        <v>90</v>
      </c>
      <c r="AI2" s="275" t="s">
        <v>91</v>
      </c>
      <c r="AJ2" s="275" t="s">
        <v>92</v>
      </c>
      <c r="AK2" s="275" t="s">
        <v>93</v>
      </c>
      <c r="AL2" s="275" t="s">
        <v>94</v>
      </c>
      <c r="AM2" s="275" t="s">
        <v>95</v>
      </c>
      <c r="AN2" s="275" t="s">
        <v>96</v>
      </c>
      <c r="AO2" s="275" t="s">
        <v>97</v>
      </c>
      <c r="AP2" s="275" t="s">
        <v>98</v>
      </c>
      <c r="AQ2" s="275" t="s">
        <v>99</v>
      </c>
      <c r="AR2" s="275" t="s">
        <v>100</v>
      </c>
      <c r="AS2" s="275" t="s">
        <v>101</v>
      </c>
      <c r="AT2" s="275" t="s">
        <v>102</v>
      </c>
      <c r="AU2" s="275" t="s">
        <v>103</v>
      </c>
      <c r="AV2" s="275" t="s">
        <v>104</v>
      </c>
      <c r="AW2" s="275" t="s">
        <v>105</v>
      </c>
      <c r="AX2" s="275" t="s">
        <v>106</v>
      </c>
      <c r="AY2" s="275" t="s">
        <v>107</v>
      </c>
      <c r="AZ2" s="275" t="s">
        <v>108</v>
      </c>
      <c r="BA2" s="275" t="s">
        <v>109</v>
      </c>
      <c r="BB2" s="275"/>
      <c r="BC2" s="99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  <c r="IZ2" s="122"/>
      <c r="JA2" s="122"/>
      <c r="JB2" s="122"/>
      <c r="JC2" s="122"/>
      <c r="JD2" s="122"/>
      <c r="JE2" s="122"/>
      <c r="JF2" s="122"/>
      <c r="JG2" s="122"/>
      <c r="JH2" s="122"/>
      <c r="JI2" s="122"/>
      <c r="JJ2" s="122"/>
      <c r="JK2" s="122"/>
      <c r="JL2" s="122"/>
      <c r="JM2" s="122"/>
      <c r="JN2" s="122"/>
      <c r="JO2" s="122"/>
      <c r="JP2" s="122"/>
      <c r="JQ2" s="122"/>
      <c r="JR2" s="122"/>
      <c r="JS2" s="122"/>
      <c r="JT2" s="122"/>
      <c r="JU2" s="122"/>
      <c r="JV2" s="122"/>
      <c r="JW2" s="122"/>
      <c r="JX2" s="122"/>
      <c r="JY2" s="122"/>
      <c r="JZ2" s="122"/>
      <c r="KA2" s="122"/>
      <c r="KB2" s="122"/>
      <c r="KC2" s="122"/>
      <c r="KD2" s="122"/>
      <c r="KE2" s="122"/>
      <c r="KF2" s="122"/>
      <c r="KG2" s="122"/>
      <c r="KH2" s="122"/>
      <c r="KI2" s="122"/>
      <c r="KJ2" s="122"/>
      <c r="KK2" s="122"/>
      <c r="KL2" s="122"/>
      <c r="KM2" s="122"/>
      <c r="KN2" s="122"/>
      <c r="KO2" s="122"/>
      <c r="KP2" s="122"/>
      <c r="KQ2" s="122"/>
      <c r="KR2" s="122"/>
      <c r="KS2" s="122"/>
      <c r="KT2" s="122"/>
      <c r="KU2" s="122"/>
      <c r="KV2" s="122"/>
      <c r="KW2" s="122"/>
      <c r="KX2" s="122"/>
      <c r="KY2" s="122"/>
      <c r="KZ2" s="122"/>
      <c r="LA2" s="122"/>
      <c r="LB2" s="122"/>
      <c r="LC2" s="122"/>
      <c r="LD2" s="122"/>
      <c r="LE2" s="122"/>
      <c r="LF2" s="122"/>
      <c r="LG2" s="122"/>
      <c r="LH2" s="122"/>
      <c r="LI2" s="122"/>
    </row>
    <row r="3" spans="1:32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3"/>
      <c r="S3" s="113"/>
      <c r="T3" s="113"/>
      <c r="U3" s="114"/>
      <c r="V3" s="115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04"/>
      <c r="BC3" s="99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2"/>
      <c r="JT3" s="122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</row>
    <row r="4" spans="1:321" ht="15.75" x14ac:dyDescent="0.25">
      <c r="A4" s="152" t="s">
        <v>185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53"/>
      <c r="T4" s="153"/>
      <c r="U4" s="153"/>
      <c r="V4" s="153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5"/>
      <c r="BC4" s="99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</row>
    <row r="5" spans="1:32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13"/>
      <c r="S5" s="113"/>
      <c r="T5" s="113"/>
      <c r="U5" s="113"/>
      <c r="V5" s="113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04"/>
      <c r="BC5" s="99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</row>
    <row r="6" spans="1:321" x14ac:dyDescent="0.25">
      <c r="A6" s="103" t="s">
        <v>186</v>
      </c>
      <c r="B6" s="112">
        <v>74.756596251497015</v>
      </c>
      <c r="C6" s="112">
        <v>74.047426426121305</v>
      </c>
      <c r="D6" s="112">
        <v>74.012348139136876</v>
      </c>
      <c r="E6" s="112">
        <v>75.464606474593879</v>
      </c>
      <c r="F6" s="112">
        <v>74.646158696710415</v>
      </c>
      <c r="G6" s="112">
        <v>74.146975017495876</v>
      </c>
      <c r="H6" s="112">
        <v>74.333111324115066</v>
      </c>
      <c r="I6" s="112">
        <v>75.6416127664897</v>
      </c>
      <c r="J6" s="112">
        <v>75.420483519933484</v>
      </c>
      <c r="K6" s="112">
        <v>76.573731393275196</v>
      </c>
      <c r="L6" s="112">
        <v>78.405623293527498</v>
      </c>
      <c r="M6" s="112">
        <v>75.427669269713263</v>
      </c>
      <c r="N6" s="112">
        <v>78.048971786017617</v>
      </c>
      <c r="O6" s="112">
        <v>78.530740331810563</v>
      </c>
      <c r="P6" s="112">
        <v>78.46394017539869</v>
      </c>
      <c r="Q6" s="112">
        <v>75.477765004668598</v>
      </c>
      <c r="R6" s="112">
        <v>74.355923273750307</v>
      </c>
      <c r="S6" s="112">
        <v>73.767545074730862</v>
      </c>
      <c r="T6" s="112">
        <v>73.297569107121646</v>
      </c>
      <c r="U6" s="123">
        <v>74.982589474592686</v>
      </c>
      <c r="V6" s="112">
        <v>73.465137052650903</v>
      </c>
      <c r="W6" s="118">
        <v>73.109563932265814</v>
      </c>
      <c r="X6" s="118">
        <v>73.391231806044999</v>
      </c>
      <c r="Y6" s="118">
        <v>74.7</v>
      </c>
      <c r="Z6" s="118">
        <v>73.7</v>
      </c>
      <c r="AA6" s="118">
        <v>73.5</v>
      </c>
      <c r="AB6" s="118">
        <v>73.900000000000006</v>
      </c>
      <c r="AC6" s="118">
        <v>75.3</v>
      </c>
      <c r="AD6" s="118">
        <v>74.2</v>
      </c>
      <c r="AE6" s="118">
        <v>73.400000000000006</v>
      </c>
      <c r="AF6" s="118">
        <v>72.900000000000006</v>
      </c>
      <c r="AG6" s="118">
        <v>73.8</v>
      </c>
      <c r="AH6" s="118">
        <v>72.5</v>
      </c>
      <c r="AI6" s="118">
        <v>71.599999999999994</v>
      </c>
      <c r="AJ6" s="118">
        <v>70.900000000000006</v>
      </c>
      <c r="AK6" s="118">
        <v>72.400000000000006</v>
      </c>
      <c r="AL6" s="118">
        <v>70.5</v>
      </c>
      <c r="AM6" s="118">
        <v>70.400000000000006</v>
      </c>
      <c r="AN6" s="118">
        <v>70.2</v>
      </c>
      <c r="AO6" s="118">
        <v>71.8</v>
      </c>
      <c r="AP6" s="118">
        <v>70.400000000000006</v>
      </c>
      <c r="AQ6" s="118">
        <v>69.8</v>
      </c>
      <c r="AR6" s="118">
        <v>69.3</v>
      </c>
      <c r="AS6" s="118">
        <v>71</v>
      </c>
      <c r="AT6" s="118">
        <v>69.599999999999994</v>
      </c>
      <c r="AU6" s="118">
        <v>68.7</v>
      </c>
      <c r="AV6" s="118">
        <v>68.8</v>
      </c>
      <c r="AW6" s="118">
        <v>70.400000000000006</v>
      </c>
      <c r="AX6" s="118">
        <v>69.2</v>
      </c>
      <c r="AY6" s="118">
        <v>69.099999999999994</v>
      </c>
      <c r="AZ6" s="118">
        <v>68.7</v>
      </c>
      <c r="BA6" s="118">
        <v>70.2</v>
      </c>
      <c r="BB6" s="100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  <c r="IW6" s="98"/>
      <c r="IX6" s="98"/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  <c r="KI6" s="98"/>
      <c r="KJ6" s="98"/>
      <c r="KK6" s="98"/>
      <c r="KL6" s="98"/>
      <c r="KM6" s="98"/>
      <c r="KN6" s="98"/>
      <c r="KO6" s="98"/>
      <c r="KP6" s="98"/>
      <c r="KQ6" s="98"/>
      <c r="KR6" s="98"/>
      <c r="KS6" s="98"/>
      <c r="KT6" s="98"/>
      <c r="KU6" s="98"/>
      <c r="KV6" s="98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</row>
    <row r="7" spans="1:321" x14ac:dyDescent="0.25">
      <c r="A7" s="106" t="s">
        <v>187</v>
      </c>
      <c r="B7" s="111">
        <v>14.196007091250607</v>
      </c>
      <c r="C7" s="111">
        <v>14.575680147088196</v>
      </c>
      <c r="D7" s="111">
        <v>14.020847081472098</v>
      </c>
      <c r="E7" s="111">
        <v>13.298179229061995</v>
      </c>
      <c r="F7" s="111">
        <v>13.116928419993739</v>
      </c>
      <c r="G7" s="111">
        <v>13.137833378475229</v>
      </c>
      <c r="H7" s="111">
        <v>13.164090434159496</v>
      </c>
      <c r="I7" s="111">
        <v>12.955809922736453</v>
      </c>
      <c r="J7" s="111">
        <v>12.981658266441739</v>
      </c>
      <c r="K7" s="111">
        <v>12.534037284107352</v>
      </c>
      <c r="L7" s="111">
        <v>11.581628048545999</v>
      </c>
      <c r="M7" s="111">
        <v>13.084959513703707</v>
      </c>
      <c r="N7" s="111">
        <v>11.891547758387388</v>
      </c>
      <c r="O7" s="111">
        <v>11.239861956046312</v>
      </c>
      <c r="P7" s="111">
        <v>11.172264833385372</v>
      </c>
      <c r="Q7" s="111">
        <v>13.047202478143099</v>
      </c>
      <c r="R7" s="111">
        <v>13.120414266344419</v>
      </c>
      <c r="S7" s="111">
        <v>13.253128650334803</v>
      </c>
      <c r="T7" s="111">
        <v>13.353364364779157</v>
      </c>
      <c r="U7" s="124">
        <v>13.028479050865535</v>
      </c>
      <c r="V7" s="111">
        <v>13.276360596663725</v>
      </c>
      <c r="W7" s="119">
        <v>13.292841732510274</v>
      </c>
      <c r="X7" s="119">
        <v>13.032287145433278</v>
      </c>
      <c r="Y7" s="119">
        <v>12.8</v>
      </c>
      <c r="Z7" s="119">
        <v>12.9</v>
      </c>
      <c r="AA7" s="119">
        <v>13</v>
      </c>
      <c r="AB7" s="119">
        <v>12.8</v>
      </c>
      <c r="AC7" s="119">
        <v>12.5</v>
      </c>
      <c r="AD7" s="119">
        <v>12.7</v>
      </c>
      <c r="AE7" s="119">
        <v>12.9</v>
      </c>
      <c r="AF7" s="119">
        <v>13.4</v>
      </c>
      <c r="AG7" s="119">
        <v>13.4</v>
      </c>
      <c r="AH7" s="119">
        <v>13.6</v>
      </c>
      <c r="AI7" s="119">
        <v>14</v>
      </c>
      <c r="AJ7" s="119">
        <v>14.2</v>
      </c>
      <c r="AK7" s="119">
        <v>13.6</v>
      </c>
      <c r="AL7" s="119">
        <v>13.8</v>
      </c>
      <c r="AM7" s="119">
        <v>13.9</v>
      </c>
      <c r="AN7" s="119">
        <v>13.8</v>
      </c>
      <c r="AO7" s="119">
        <v>13.6</v>
      </c>
      <c r="AP7" s="119">
        <v>14</v>
      </c>
      <c r="AQ7" s="119">
        <v>14.2</v>
      </c>
      <c r="AR7" s="119">
        <v>14.3</v>
      </c>
      <c r="AS7" s="119">
        <v>13.9</v>
      </c>
      <c r="AT7" s="119">
        <v>14.1</v>
      </c>
      <c r="AU7" s="119">
        <v>14.5</v>
      </c>
      <c r="AV7" s="119">
        <v>15.8</v>
      </c>
      <c r="AW7" s="119">
        <v>14.3</v>
      </c>
      <c r="AX7" s="119">
        <v>14.3</v>
      </c>
      <c r="AY7" s="119">
        <v>14.1</v>
      </c>
      <c r="AZ7" s="119">
        <v>14.3</v>
      </c>
      <c r="BA7" s="119">
        <v>14.1</v>
      </c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  <c r="IW7" s="98"/>
      <c r="IX7" s="98"/>
      <c r="IY7" s="98"/>
      <c r="IZ7" s="98"/>
      <c r="JA7" s="98"/>
      <c r="JB7" s="98"/>
      <c r="JC7" s="98"/>
      <c r="JD7" s="98"/>
      <c r="JE7" s="98"/>
      <c r="JF7" s="98"/>
      <c r="JG7" s="98"/>
      <c r="JH7" s="98"/>
      <c r="JI7" s="98"/>
      <c r="JJ7" s="98"/>
      <c r="JK7" s="98"/>
      <c r="JL7" s="98"/>
      <c r="JM7" s="98"/>
      <c r="JN7" s="98"/>
      <c r="JO7" s="98"/>
      <c r="JP7" s="98"/>
      <c r="JQ7" s="98"/>
      <c r="JR7" s="98"/>
      <c r="JS7" s="98"/>
      <c r="JT7" s="98"/>
      <c r="JU7" s="98"/>
      <c r="JV7" s="98"/>
      <c r="JW7" s="98"/>
      <c r="JX7" s="98"/>
      <c r="JY7" s="98"/>
      <c r="JZ7" s="98"/>
      <c r="KA7" s="98"/>
      <c r="KB7" s="98"/>
      <c r="KC7" s="98"/>
      <c r="KD7" s="98"/>
      <c r="KE7" s="98"/>
      <c r="KF7" s="98"/>
      <c r="KG7" s="98"/>
      <c r="KH7" s="98"/>
      <c r="KI7" s="98"/>
      <c r="KJ7" s="98"/>
      <c r="KK7" s="98"/>
      <c r="KL7" s="98"/>
      <c r="KM7" s="98"/>
      <c r="KN7" s="98"/>
      <c r="KO7" s="98"/>
      <c r="KP7" s="98"/>
      <c r="KQ7" s="98"/>
      <c r="KR7" s="98"/>
      <c r="KS7" s="98"/>
      <c r="KT7" s="98"/>
      <c r="KU7" s="98"/>
      <c r="KV7" s="98"/>
      <c r="KW7" s="98"/>
      <c r="KX7" s="98"/>
      <c r="KY7" s="98"/>
      <c r="KZ7" s="98"/>
      <c r="LA7" s="98"/>
      <c r="LB7" s="98"/>
      <c r="LC7" s="98"/>
      <c r="LD7" s="98"/>
      <c r="LE7" s="98"/>
      <c r="LF7" s="98"/>
      <c r="LG7" s="98"/>
      <c r="LH7" s="98"/>
      <c r="LI7" s="98"/>
    </row>
    <row r="8" spans="1:321" x14ac:dyDescent="0.25">
      <c r="A8" s="103" t="s">
        <v>188</v>
      </c>
      <c r="B8" s="112">
        <v>3.9711601747797394</v>
      </c>
      <c r="C8" s="112">
        <v>4.0535474613930855</v>
      </c>
      <c r="D8" s="112">
        <v>3.9742445723056532</v>
      </c>
      <c r="E8" s="112">
        <v>3.9177668088814852</v>
      </c>
      <c r="F8" s="112">
        <v>4.011612760617882</v>
      </c>
      <c r="G8" s="112">
        <v>4.0925210821763764</v>
      </c>
      <c r="H8" s="112">
        <v>4.1150535246454885</v>
      </c>
      <c r="I8" s="112">
        <v>4.1041968242266993</v>
      </c>
      <c r="J8" s="112">
        <v>4.1908979437159255</v>
      </c>
      <c r="K8" s="112">
        <v>4.0076188059223066</v>
      </c>
      <c r="L8" s="112">
        <v>3.8224161858389998</v>
      </c>
      <c r="M8" s="112">
        <v>3.8585000185868958</v>
      </c>
      <c r="N8" s="112">
        <v>3.8588004839452315</v>
      </c>
      <c r="O8" s="112">
        <v>3.7872579615486575</v>
      </c>
      <c r="P8" s="112">
        <v>3.5679973804888703</v>
      </c>
      <c r="Q8" s="112">
        <v>3.8302373191658301</v>
      </c>
      <c r="R8" s="112">
        <v>3.8801591194617737</v>
      </c>
      <c r="S8" s="112">
        <v>3.9728936345082246</v>
      </c>
      <c r="T8" s="112">
        <v>4.0146436991228951</v>
      </c>
      <c r="U8" s="123">
        <v>3.8980870560877796</v>
      </c>
      <c r="V8" s="112">
        <v>4.0878791470826883</v>
      </c>
      <c r="W8" s="118">
        <v>4.1681010682943231</v>
      </c>
      <c r="X8" s="118">
        <v>4.1287934516388889</v>
      </c>
      <c r="Y8" s="118">
        <v>4.0999999999999996</v>
      </c>
      <c r="Z8" s="118">
        <v>4.2</v>
      </c>
      <c r="AA8" s="118">
        <v>4.0999999999999996</v>
      </c>
      <c r="AB8" s="118">
        <v>4</v>
      </c>
      <c r="AC8" s="118">
        <v>3.9</v>
      </c>
      <c r="AD8" s="118">
        <v>4.0999999999999996</v>
      </c>
      <c r="AE8" s="118">
        <v>4.3</v>
      </c>
      <c r="AF8" s="118">
        <v>4.2</v>
      </c>
      <c r="AG8" s="118">
        <v>4.3</v>
      </c>
      <c r="AH8" s="118">
        <v>4.5999999999999996</v>
      </c>
      <c r="AI8" s="118">
        <v>4.9000000000000004</v>
      </c>
      <c r="AJ8" s="118">
        <v>5.2</v>
      </c>
      <c r="AK8" s="118">
        <v>5.4</v>
      </c>
      <c r="AL8" s="118">
        <v>5.8</v>
      </c>
      <c r="AM8" s="118">
        <v>5.9</v>
      </c>
      <c r="AN8" s="118">
        <v>6.1</v>
      </c>
      <c r="AO8" s="118">
        <v>5.9</v>
      </c>
      <c r="AP8" s="118">
        <v>6</v>
      </c>
      <c r="AQ8" s="118">
        <v>6.2</v>
      </c>
      <c r="AR8" s="118">
        <v>6.3</v>
      </c>
      <c r="AS8" s="118">
        <v>6</v>
      </c>
      <c r="AT8" s="118">
        <v>6.2</v>
      </c>
      <c r="AU8" s="118">
        <v>6.3</v>
      </c>
      <c r="AV8" s="118">
        <v>6.3</v>
      </c>
      <c r="AW8" s="118">
        <v>6.2</v>
      </c>
      <c r="AX8" s="118">
        <v>6.3</v>
      </c>
      <c r="AY8" s="118">
        <v>6.4</v>
      </c>
      <c r="AZ8" s="118">
        <v>6.6</v>
      </c>
      <c r="BA8" s="118">
        <v>6.4</v>
      </c>
      <c r="BB8" s="100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98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98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98"/>
      <c r="KQ8" s="98"/>
      <c r="KR8" s="98"/>
      <c r="KS8" s="98"/>
      <c r="KT8" s="98"/>
      <c r="KU8" s="98"/>
      <c r="KV8" s="98"/>
      <c r="KW8" s="98"/>
      <c r="KX8" s="98"/>
      <c r="KY8" s="98"/>
      <c r="KZ8" s="98"/>
      <c r="LA8" s="98"/>
      <c r="LB8" s="98"/>
      <c r="LC8" s="98"/>
      <c r="LD8" s="98"/>
      <c r="LE8" s="98"/>
      <c r="LF8" s="98"/>
      <c r="LG8" s="98"/>
      <c r="LH8" s="98"/>
      <c r="LI8" s="98"/>
    </row>
    <row r="9" spans="1:321" x14ac:dyDescent="0.25">
      <c r="A9" s="106" t="s">
        <v>189</v>
      </c>
      <c r="B9" s="111">
        <v>7.076236482472634</v>
      </c>
      <c r="C9" s="111">
        <v>7.3233459653974178</v>
      </c>
      <c r="D9" s="111">
        <v>7.9925602070853756</v>
      </c>
      <c r="E9" s="111">
        <v>7.3194474874626509</v>
      </c>
      <c r="F9" s="111">
        <v>8.2253001226779627</v>
      </c>
      <c r="G9" s="111">
        <v>8.6226705218525179</v>
      </c>
      <c r="H9" s="111">
        <v>8.3877447170799542</v>
      </c>
      <c r="I9" s="111">
        <v>7.298380486547126</v>
      </c>
      <c r="J9" s="111">
        <v>7.4069602699088524</v>
      </c>
      <c r="K9" s="111">
        <v>6.884612516695138</v>
      </c>
      <c r="L9" s="111">
        <v>6.1903324720874897</v>
      </c>
      <c r="M9" s="111">
        <v>7.6288711979961317</v>
      </c>
      <c r="N9" s="111">
        <v>6.2006799716497705</v>
      </c>
      <c r="O9" s="111">
        <v>6.4421397505944622</v>
      </c>
      <c r="P9" s="111">
        <v>6.795797610727063</v>
      </c>
      <c r="Q9" s="111">
        <v>7.6447951980224698</v>
      </c>
      <c r="R9" s="111">
        <v>8.6435033404434982</v>
      </c>
      <c r="S9" s="111">
        <v>9.0064326404261283</v>
      </c>
      <c r="T9" s="111">
        <v>9.3344228289762796</v>
      </c>
      <c r="U9" s="124">
        <v>8.0908444184540151</v>
      </c>
      <c r="V9" s="111">
        <v>9.1706232036026911</v>
      </c>
      <c r="W9" s="119">
        <v>9.4294932669295903</v>
      </c>
      <c r="X9" s="119">
        <v>9.4476875968828651</v>
      </c>
      <c r="Y9" s="119">
        <v>8.4</v>
      </c>
      <c r="Z9" s="119">
        <v>9.3000000000000007</v>
      </c>
      <c r="AA9" s="119">
        <v>9.4</v>
      </c>
      <c r="AB9" s="119">
        <v>9.1999999999999993</v>
      </c>
      <c r="AC9" s="119">
        <v>8.3000000000000007</v>
      </c>
      <c r="AD9" s="119">
        <v>9</v>
      </c>
      <c r="AE9" s="119">
        <v>9.4</v>
      </c>
      <c r="AF9" s="119">
        <v>9.5</v>
      </c>
      <c r="AG9" s="119">
        <v>8.5</v>
      </c>
      <c r="AH9" s="119">
        <v>9.3000000000000007</v>
      </c>
      <c r="AI9" s="119">
        <v>9.6</v>
      </c>
      <c r="AJ9" s="119">
        <v>9.6999999999999993</v>
      </c>
      <c r="AK9" s="119">
        <v>8.6999999999999993</v>
      </c>
      <c r="AL9" s="119">
        <v>9.8000000000000007</v>
      </c>
      <c r="AM9" s="119">
        <v>9.8000000000000007</v>
      </c>
      <c r="AN9" s="119">
        <v>9.9</v>
      </c>
      <c r="AO9" s="119">
        <v>8.6999999999999993</v>
      </c>
      <c r="AP9" s="119">
        <v>9.6</v>
      </c>
      <c r="AQ9" s="119">
        <v>9.9</v>
      </c>
      <c r="AR9" s="119">
        <v>10.199999999999999</v>
      </c>
      <c r="AS9" s="119">
        <v>9.1</v>
      </c>
      <c r="AT9" s="119">
        <v>10.1</v>
      </c>
      <c r="AU9" s="119">
        <v>10.4</v>
      </c>
      <c r="AV9" s="119">
        <v>10.3</v>
      </c>
      <c r="AW9" s="119">
        <v>9.1</v>
      </c>
      <c r="AX9" s="119">
        <v>10.1</v>
      </c>
      <c r="AY9" s="119">
        <v>10.4</v>
      </c>
      <c r="AZ9" s="119">
        <v>10.4</v>
      </c>
      <c r="BA9" s="119">
        <v>9.1999999999999993</v>
      </c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  <c r="IW9" s="98"/>
      <c r="IX9" s="98"/>
      <c r="IY9" s="98"/>
      <c r="IZ9" s="98"/>
      <c r="JA9" s="98"/>
      <c r="JB9" s="98"/>
      <c r="JC9" s="98"/>
      <c r="JD9" s="98"/>
      <c r="JE9" s="98"/>
      <c r="JF9" s="98"/>
      <c r="JG9" s="98"/>
      <c r="JH9" s="98"/>
      <c r="JI9" s="98"/>
      <c r="JJ9" s="98"/>
      <c r="JK9" s="98"/>
      <c r="JL9" s="98"/>
      <c r="JM9" s="98"/>
      <c r="JN9" s="98"/>
      <c r="JO9" s="98"/>
      <c r="JP9" s="98"/>
      <c r="JQ9" s="98"/>
      <c r="JR9" s="98"/>
      <c r="JS9" s="98"/>
      <c r="JT9" s="98"/>
      <c r="JU9" s="98"/>
      <c r="JV9" s="98"/>
      <c r="JW9" s="98"/>
      <c r="JX9" s="98"/>
      <c r="JY9" s="98"/>
      <c r="JZ9" s="98"/>
      <c r="KA9" s="98"/>
      <c r="KB9" s="98"/>
      <c r="KC9" s="98"/>
      <c r="KD9" s="98"/>
      <c r="KE9" s="98"/>
      <c r="KF9" s="98"/>
      <c r="KG9" s="98"/>
      <c r="KH9" s="98"/>
      <c r="KI9" s="98"/>
      <c r="KJ9" s="98"/>
      <c r="KK9" s="98"/>
      <c r="KL9" s="98"/>
      <c r="KM9" s="98"/>
      <c r="KN9" s="98"/>
      <c r="KO9" s="98"/>
      <c r="KP9" s="98"/>
      <c r="KQ9" s="98"/>
      <c r="KR9" s="98"/>
      <c r="KS9" s="98"/>
      <c r="KT9" s="98"/>
      <c r="KU9" s="98"/>
      <c r="KV9" s="98"/>
      <c r="KW9" s="98"/>
      <c r="KX9" s="98"/>
      <c r="KY9" s="98"/>
      <c r="KZ9" s="98"/>
      <c r="LA9" s="98"/>
      <c r="LB9" s="98"/>
      <c r="LC9" s="98"/>
      <c r="LD9" s="98"/>
      <c r="LE9" s="98"/>
      <c r="LF9" s="98"/>
      <c r="LG9" s="98"/>
      <c r="LH9" s="98"/>
      <c r="LI9" s="98"/>
    </row>
    <row r="10" spans="1:321" x14ac:dyDescent="0.25">
      <c r="A10" s="128" t="s">
        <v>21</v>
      </c>
      <c r="B10" s="126">
        <f>SUM(B6:B9)</f>
        <v>100</v>
      </c>
      <c r="C10" s="126">
        <v>100</v>
      </c>
      <c r="D10" s="126">
        <v>100</v>
      </c>
      <c r="E10" s="126">
        <v>100.00000000000001</v>
      </c>
      <c r="F10" s="126">
        <f t="shared" ref="F10:H10" si="0">SUM(F6:F9)</f>
        <v>100</v>
      </c>
      <c r="G10" s="126">
        <f t="shared" si="0"/>
        <v>100</v>
      </c>
      <c r="H10" s="126">
        <f t="shared" si="0"/>
        <v>100</v>
      </c>
      <c r="I10" s="126">
        <v>99.999999999999986</v>
      </c>
      <c r="J10" s="126">
        <v>100</v>
      </c>
      <c r="K10" s="126">
        <v>100</v>
      </c>
      <c r="L10" s="126">
        <v>99.999999999999986</v>
      </c>
      <c r="M10" s="126">
        <v>100</v>
      </c>
      <c r="N10" s="126">
        <v>100.00000000000001</v>
      </c>
      <c r="O10" s="126">
        <v>100</v>
      </c>
      <c r="P10" s="126">
        <v>100</v>
      </c>
      <c r="Q10" s="126">
        <v>99.999999999999986</v>
      </c>
      <c r="R10" s="126">
        <v>100.00000000000001</v>
      </c>
      <c r="S10" s="126">
        <v>100.00000000000001</v>
      </c>
      <c r="T10" s="126">
        <v>99.999999999999972</v>
      </c>
      <c r="U10" s="126">
        <v>100.00000000000001</v>
      </c>
      <c r="V10" s="126">
        <v>100</v>
      </c>
      <c r="W10" s="121">
        <v>100</v>
      </c>
      <c r="X10" s="121">
        <v>100</v>
      </c>
      <c r="Y10" s="121">
        <v>100</v>
      </c>
      <c r="Z10" s="121">
        <v>100</v>
      </c>
      <c r="AA10" s="121">
        <v>100</v>
      </c>
      <c r="AB10" s="121">
        <v>100</v>
      </c>
      <c r="AC10" s="121">
        <v>100</v>
      </c>
      <c r="AD10" s="121">
        <v>100</v>
      </c>
      <c r="AE10" s="121">
        <v>100</v>
      </c>
      <c r="AF10" s="121">
        <v>100</v>
      </c>
      <c r="AG10" s="121">
        <v>100</v>
      </c>
      <c r="AH10" s="121">
        <v>100</v>
      </c>
      <c r="AI10" s="121">
        <v>100</v>
      </c>
      <c r="AJ10" s="121">
        <v>100</v>
      </c>
      <c r="AK10" s="121">
        <v>100</v>
      </c>
      <c r="AL10" s="121">
        <v>100</v>
      </c>
      <c r="AM10" s="121">
        <v>100</v>
      </c>
      <c r="AN10" s="121">
        <v>100</v>
      </c>
      <c r="AO10" s="121">
        <v>100</v>
      </c>
      <c r="AP10" s="121">
        <v>100</v>
      </c>
      <c r="AQ10" s="121">
        <v>100</v>
      </c>
      <c r="AR10" s="121">
        <v>100</v>
      </c>
      <c r="AS10" s="121">
        <v>100</v>
      </c>
      <c r="AT10" s="121">
        <v>100</v>
      </c>
      <c r="AU10" s="121">
        <v>100</v>
      </c>
      <c r="AV10" s="121">
        <v>100</v>
      </c>
      <c r="AW10" s="121">
        <v>100</v>
      </c>
      <c r="AX10" s="121">
        <v>100</v>
      </c>
      <c r="AY10" s="121">
        <v>100</v>
      </c>
      <c r="AZ10" s="121">
        <v>100</v>
      </c>
      <c r="BA10" s="121">
        <v>100</v>
      </c>
      <c r="BB10" s="101"/>
      <c r="BC10" s="102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</row>
    <row r="11" spans="1:321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11"/>
      <c r="S11" s="111"/>
      <c r="T11" s="111"/>
      <c r="U11" s="111"/>
      <c r="V11" s="111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99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</row>
    <row r="12" spans="1:321" ht="15.75" x14ac:dyDescent="0.25">
      <c r="A12" s="152" t="s">
        <v>190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6"/>
      <c r="S12" s="156"/>
      <c r="T12" s="156"/>
      <c r="U12" s="156"/>
      <c r="V12" s="156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1"/>
      <c r="BC12" s="99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  <c r="IW12" s="122"/>
      <c r="IX12" s="122"/>
      <c r="IY12" s="122"/>
      <c r="IZ12" s="122"/>
      <c r="JA12" s="122"/>
      <c r="JB12" s="122"/>
      <c r="JC12" s="122"/>
      <c r="JD12" s="122"/>
      <c r="JE12" s="122"/>
      <c r="JF12" s="122"/>
      <c r="JG12" s="122"/>
      <c r="JH12" s="122"/>
      <c r="JI12" s="122"/>
      <c r="JJ12" s="122"/>
      <c r="JK12" s="122"/>
      <c r="JL12" s="122"/>
      <c r="JM12" s="122"/>
      <c r="JN12" s="122"/>
      <c r="JO12" s="122"/>
      <c r="JP12" s="122"/>
      <c r="JQ12" s="122"/>
      <c r="JR12" s="122"/>
      <c r="JS12" s="122"/>
      <c r="JT12" s="122"/>
      <c r="JU12" s="122"/>
      <c r="JV12" s="122"/>
      <c r="JW12" s="122"/>
      <c r="JX12" s="122"/>
      <c r="JY12" s="122"/>
      <c r="JZ12" s="122"/>
      <c r="KA12" s="122"/>
      <c r="KB12" s="122"/>
      <c r="KC12" s="122"/>
      <c r="KD12" s="122"/>
      <c r="KE12" s="122"/>
      <c r="KF12" s="122"/>
      <c r="KG12" s="122"/>
      <c r="KH12" s="122"/>
      <c r="KI12" s="122"/>
      <c r="KJ12" s="122"/>
      <c r="KK12" s="122"/>
      <c r="KL12" s="122"/>
      <c r="KM12" s="122"/>
      <c r="KN12" s="122"/>
      <c r="KO12" s="122"/>
      <c r="KP12" s="122"/>
      <c r="KQ12" s="122"/>
      <c r="KR12" s="122"/>
      <c r="KS12" s="122"/>
      <c r="KT12" s="122"/>
      <c r="KU12" s="122"/>
      <c r="KV12" s="122"/>
      <c r="KW12" s="122"/>
      <c r="KX12" s="122"/>
      <c r="KY12" s="122"/>
      <c r="KZ12" s="122"/>
      <c r="LA12" s="122"/>
      <c r="LB12" s="122"/>
      <c r="LC12" s="122"/>
      <c r="LD12" s="122"/>
      <c r="LE12" s="122"/>
      <c r="LF12" s="122"/>
      <c r="LG12" s="122"/>
      <c r="LH12" s="122"/>
      <c r="LI12" s="122"/>
    </row>
    <row r="13" spans="1:321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13"/>
      <c r="S13" s="113"/>
      <c r="T13" s="113"/>
      <c r="U13" s="113"/>
      <c r="V13" s="113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04"/>
      <c r="BC13" s="99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</row>
    <row r="14" spans="1:321" x14ac:dyDescent="0.25">
      <c r="A14" s="103" t="s">
        <v>186</v>
      </c>
      <c r="B14" s="112">
        <v>72.499058392279508</v>
      </c>
      <c r="C14" s="112">
        <v>71.802724442883587</v>
      </c>
      <c r="D14" s="112">
        <v>71.7270851638404</v>
      </c>
      <c r="E14" s="112">
        <v>73.186606381369373</v>
      </c>
      <c r="F14" s="112">
        <v>72.428391966315516</v>
      </c>
      <c r="G14" s="112">
        <v>71.980008662210821</v>
      </c>
      <c r="H14" s="112">
        <v>72.195399785590013</v>
      </c>
      <c r="I14" s="112">
        <v>73.385649835149451</v>
      </c>
      <c r="J14" s="112">
        <v>73.178188760216699</v>
      </c>
      <c r="K14" s="112">
        <v>74.011943984347397</v>
      </c>
      <c r="L14" s="112">
        <v>75.64255105874031</v>
      </c>
      <c r="M14" s="112">
        <v>71.871374658308511</v>
      </c>
      <c r="N14" s="112">
        <v>75.331281661067635</v>
      </c>
      <c r="O14" s="112">
        <v>75.939530102769254</v>
      </c>
      <c r="P14" s="112">
        <v>75.762747170023431</v>
      </c>
      <c r="Q14" s="112">
        <v>71.898368491679193</v>
      </c>
      <c r="R14" s="112">
        <v>70.844271718434641</v>
      </c>
      <c r="S14" s="112">
        <v>70.329856699601692</v>
      </c>
      <c r="T14" s="112">
        <v>70.16669933718552</v>
      </c>
      <c r="U14" s="123">
        <v>71.537590755888928</v>
      </c>
      <c r="V14" s="112">
        <v>70.043463768427443</v>
      </c>
      <c r="W14" s="118">
        <v>69.62816186964308</v>
      </c>
      <c r="X14" s="118">
        <v>70.01634875674165</v>
      </c>
      <c r="Y14" s="118">
        <v>71.2</v>
      </c>
      <c r="Z14" s="118">
        <v>70.400000000000006</v>
      </c>
      <c r="AA14" s="118">
        <v>70.3</v>
      </c>
      <c r="AB14" s="118">
        <v>70.8</v>
      </c>
      <c r="AC14" s="118">
        <v>71.7</v>
      </c>
      <c r="AD14" s="118">
        <v>70.8</v>
      </c>
      <c r="AE14" s="118">
        <v>70</v>
      </c>
      <c r="AF14" s="118">
        <v>69.599999999999994</v>
      </c>
      <c r="AG14" s="118">
        <v>70.3</v>
      </c>
      <c r="AH14" s="118">
        <v>69.2</v>
      </c>
      <c r="AI14" s="118">
        <v>68.2</v>
      </c>
      <c r="AJ14" s="118">
        <v>67.5</v>
      </c>
      <c r="AK14" s="118">
        <v>68.7</v>
      </c>
      <c r="AL14" s="118">
        <v>67.2</v>
      </c>
      <c r="AM14" s="118">
        <v>67.3</v>
      </c>
      <c r="AN14" s="118">
        <v>67</v>
      </c>
      <c r="AO14" s="118">
        <v>68.599999999999994</v>
      </c>
      <c r="AP14" s="118">
        <v>67.5</v>
      </c>
      <c r="AQ14" s="118">
        <v>66.900000000000006</v>
      </c>
      <c r="AR14" s="118">
        <v>66.400000000000006</v>
      </c>
      <c r="AS14" s="118">
        <v>68</v>
      </c>
      <c r="AT14" s="118">
        <v>66.599999999999994</v>
      </c>
      <c r="AU14" s="118">
        <v>65.8</v>
      </c>
      <c r="AV14" s="118">
        <v>65.900000000000006</v>
      </c>
      <c r="AW14" s="118">
        <v>67</v>
      </c>
      <c r="AX14" s="118">
        <v>66.2</v>
      </c>
      <c r="AY14" s="118">
        <v>66.099999999999994</v>
      </c>
      <c r="AZ14" s="118">
        <v>66</v>
      </c>
      <c r="BA14" s="118">
        <v>67.2</v>
      </c>
      <c r="BB14" s="100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</row>
    <row r="15" spans="1:321" x14ac:dyDescent="0.25">
      <c r="A15" s="106" t="s">
        <v>187</v>
      </c>
      <c r="B15" s="111">
        <v>16.773272362013579</v>
      </c>
      <c r="C15" s="111">
        <v>17.207276470354891</v>
      </c>
      <c r="D15" s="111">
        <v>16.483765591120456</v>
      </c>
      <c r="E15" s="111">
        <v>15.756313317871474</v>
      </c>
      <c r="F15" s="111">
        <v>15.532212064154729</v>
      </c>
      <c r="G15" s="111">
        <v>15.570170550446511</v>
      </c>
      <c r="H15" s="111">
        <v>15.580451750567509</v>
      </c>
      <c r="I15" s="111">
        <v>15.313151239072836</v>
      </c>
      <c r="J15" s="111">
        <v>15.386572208029179</v>
      </c>
      <c r="K15" s="111">
        <v>15.185186205110055</v>
      </c>
      <c r="L15" s="111">
        <v>14.1711642631785</v>
      </c>
      <c r="M15" s="111">
        <v>16.549295401223084</v>
      </c>
      <c r="N15" s="111">
        <v>14.669199476601024</v>
      </c>
      <c r="O15" s="111">
        <v>13.888175316146755</v>
      </c>
      <c r="P15" s="111">
        <v>13.864861092962833</v>
      </c>
      <c r="Q15" s="111">
        <v>16.520444332012801</v>
      </c>
      <c r="R15" s="111">
        <v>16.712833327127882</v>
      </c>
      <c r="S15" s="111">
        <v>16.82403887456919</v>
      </c>
      <c r="T15" s="111">
        <v>16.83984137535764</v>
      </c>
      <c r="U15" s="124">
        <v>16.475047270532883</v>
      </c>
      <c r="V15" s="111">
        <v>16.900914107393763</v>
      </c>
      <c r="W15" s="119">
        <v>16.947302768275943</v>
      </c>
      <c r="X15" s="119">
        <v>16.592566247662397</v>
      </c>
      <c r="Y15" s="119">
        <v>16.399999999999999</v>
      </c>
      <c r="Z15" s="119">
        <v>16.5</v>
      </c>
      <c r="AA15" s="119">
        <v>16.5</v>
      </c>
      <c r="AB15" s="119">
        <v>16.3</v>
      </c>
      <c r="AC15" s="119">
        <v>16</v>
      </c>
      <c r="AD15" s="119">
        <v>16.2</v>
      </c>
      <c r="AE15" s="119">
        <v>16.5</v>
      </c>
      <c r="AF15" s="119">
        <v>17</v>
      </c>
      <c r="AG15" s="119">
        <v>17</v>
      </c>
      <c r="AH15" s="119">
        <v>17.3</v>
      </c>
      <c r="AI15" s="119">
        <v>17.8</v>
      </c>
      <c r="AJ15" s="119">
        <v>18</v>
      </c>
      <c r="AK15" s="119">
        <v>17.2</v>
      </c>
      <c r="AL15" s="119">
        <v>17.5</v>
      </c>
      <c r="AM15" s="119">
        <v>17.5</v>
      </c>
      <c r="AN15" s="119">
        <v>17.600000000000001</v>
      </c>
      <c r="AO15" s="119">
        <v>17.2</v>
      </c>
      <c r="AP15" s="119">
        <v>17.8</v>
      </c>
      <c r="AQ15" s="119">
        <v>17.899999999999999</v>
      </c>
      <c r="AR15" s="119">
        <v>17.899999999999999</v>
      </c>
      <c r="AS15" s="119">
        <v>17.5</v>
      </c>
      <c r="AT15" s="119">
        <v>17.8</v>
      </c>
      <c r="AU15" s="119">
        <v>18.3</v>
      </c>
      <c r="AV15" s="119">
        <v>18.3</v>
      </c>
      <c r="AW15" s="119">
        <v>18</v>
      </c>
      <c r="AX15" s="119">
        <v>18.100000000000001</v>
      </c>
      <c r="AY15" s="119">
        <v>17.899999999999999</v>
      </c>
      <c r="AZ15" s="119">
        <v>18.100000000000001</v>
      </c>
      <c r="BA15" s="119">
        <v>17.8</v>
      </c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</row>
    <row r="16" spans="1:321" x14ac:dyDescent="0.25">
      <c r="A16" s="103" t="s">
        <v>188</v>
      </c>
      <c r="B16" s="112">
        <v>3.8509479201318801</v>
      </c>
      <c r="C16" s="112">
        <v>3.9451380734351749</v>
      </c>
      <c r="D16" s="112">
        <v>3.9248293328034638</v>
      </c>
      <c r="E16" s="112">
        <v>3.7019248122611299</v>
      </c>
      <c r="F16" s="112">
        <v>3.8899703581933287</v>
      </c>
      <c r="G16" s="112">
        <v>4.017811259824188</v>
      </c>
      <c r="H16" s="112">
        <v>3.9772479303402379</v>
      </c>
      <c r="I16" s="112">
        <v>3.9223283495772781</v>
      </c>
      <c r="J16" s="112">
        <v>3.982337891313914</v>
      </c>
      <c r="K16" s="112">
        <v>4.0091203408365921</v>
      </c>
      <c r="L16" s="112">
        <v>3.9654860754744901</v>
      </c>
      <c r="M16" s="112">
        <v>3.7670919388472375</v>
      </c>
      <c r="N16" s="112">
        <v>3.661194274516979</v>
      </c>
      <c r="O16" s="112">
        <v>3.5872774696564544</v>
      </c>
      <c r="P16" s="112">
        <v>3.4230832207055242</v>
      </c>
      <c r="Q16" s="112">
        <v>3.75336875379053</v>
      </c>
      <c r="R16" s="112">
        <v>3.7199504656085978</v>
      </c>
      <c r="S16" s="112">
        <v>3.8885785634859618</v>
      </c>
      <c r="T16" s="112">
        <v>3.8317437394642431</v>
      </c>
      <c r="U16" s="123">
        <v>3.815311497610621</v>
      </c>
      <c r="V16" s="112">
        <v>3.8937454092722299</v>
      </c>
      <c r="W16" s="118">
        <v>4.0625555876571111</v>
      </c>
      <c r="X16" s="118">
        <v>3.9627061356366351</v>
      </c>
      <c r="Y16" s="118">
        <v>4</v>
      </c>
      <c r="Z16" s="118">
        <v>3.9</v>
      </c>
      <c r="AA16" s="118">
        <v>3.9</v>
      </c>
      <c r="AB16" s="118">
        <v>3.8</v>
      </c>
      <c r="AC16" s="118">
        <v>3.8</v>
      </c>
      <c r="AD16" s="118">
        <v>4</v>
      </c>
      <c r="AE16" s="118">
        <v>4.2</v>
      </c>
      <c r="AF16" s="118">
        <v>4</v>
      </c>
      <c r="AG16" s="118">
        <v>4.2</v>
      </c>
      <c r="AH16" s="118">
        <v>4.4000000000000004</v>
      </c>
      <c r="AI16" s="118">
        <v>4.7</v>
      </c>
      <c r="AJ16" s="118">
        <v>5.0999999999999996</v>
      </c>
      <c r="AK16" s="118">
        <v>5.4</v>
      </c>
      <c r="AL16" s="118">
        <v>5.8</v>
      </c>
      <c r="AM16" s="118">
        <v>5.9</v>
      </c>
      <c r="AN16" s="118">
        <v>6.1</v>
      </c>
      <c r="AO16" s="118">
        <v>5.8</v>
      </c>
      <c r="AP16" s="118">
        <v>5.6</v>
      </c>
      <c r="AQ16" s="118">
        <v>5.8</v>
      </c>
      <c r="AR16" s="118">
        <v>6</v>
      </c>
      <c r="AS16" s="118">
        <v>5.7</v>
      </c>
      <c r="AT16" s="118">
        <v>6</v>
      </c>
      <c r="AU16" s="118">
        <v>6.1</v>
      </c>
      <c r="AV16" s="118">
        <v>6</v>
      </c>
      <c r="AW16" s="118">
        <v>6.1</v>
      </c>
      <c r="AX16" s="118">
        <v>6.1</v>
      </c>
      <c r="AY16" s="118">
        <v>6.2</v>
      </c>
      <c r="AZ16" s="118">
        <v>6</v>
      </c>
      <c r="BA16" s="118">
        <v>6.1</v>
      </c>
      <c r="BB16" s="100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</row>
    <row r="17" spans="1:321" x14ac:dyDescent="0.25">
      <c r="A17" s="106" t="s">
        <v>189</v>
      </c>
      <c r="B17" s="111">
        <v>6.8767213255750219</v>
      </c>
      <c r="C17" s="111">
        <v>7.044861013326341</v>
      </c>
      <c r="D17" s="111">
        <v>7.8643199122356737</v>
      </c>
      <c r="E17" s="111">
        <v>7.3551554884980312</v>
      </c>
      <c r="F17" s="111">
        <v>8.1494256113364063</v>
      </c>
      <c r="G17" s="111">
        <v>8.4320095275184759</v>
      </c>
      <c r="H17" s="111">
        <v>8.2469005335022292</v>
      </c>
      <c r="I17" s="111">
        <v>7.3788705762004634</v>
      </c>
      <c r="J17" s="111">
        <v>7.4529011404402103</v>
      </c>
      <c r="K17" s="111">
        <v>6.7937494697059755</v>
      </c>
      <c r="L17" s="111">
        <v>6.2207986026067097</v>
      </c>
      <c r="M17" s="111">
        <v>7.8122380016211554</v>
      </c>
      <c r="N17" s="111">
        <v>6.3383245878143661</v>
      </c>
      <c r="O17" s="111">
        <v>6.58501711142753</v>
      </c>
      <c r="P17" s="111">
        <v>6.9493085163082089</v>
      </c>
      <c r="Q17" s="111">
        <v>7.8278184225174794</v>
      </c>
      <c r="R17" s="111">
        <v>8.7229444888288885</v>
      </c>
      <c r="S17" s="111">
        <v>8.9575258623431626</v>
      </c>
      <c r="T17" s="111">
        <v>9.1617155479925891</v>
      </c>
      <c r="U17" s="124">
        <v>8.1720504759675912</v>
      </c>
      <c r="V17" s="111">
        <v>9.1618767149065619</v>
      </c>
      <c r="W17" s="119">
        <v>9.3619797744238653</v>
      </c>
      <c r="X17" s="119">
        <v>9.4476875968828651</v>
      </c>
      <c r="Y17" s="119">
        <v>8.4</v>
      </c>
      <c r="Z17" s="119">
        <v>9.1999999999999993</v>
      </c>
      <c r="AA17" s="119">
        <v>9.3000000000000007</v>
      </c>
      <c r="AB17" s="119">
        <v>9.1999999999999993</v>
      </c>
      <c r="AC17" s="119">
        <v>8.5</v>
      </c>
      <c r="AD17" s="119">
        <v>9</v>
      </c>
      <c r="AE17" s="119">
        <v>9.3000000000000007</v>
      </c>
      <c r="AF17" s="119">
        <v>9.3000000000000007</v>
      </c>
      <c r="AG17" s="119">
        <v>8.5</v>
      </c>
      <c r="AH17" s="119">
        <v>9.1</v>
      </c>
      <c r="AI17" s="119">
        <v>9.3000000000000007</v>
      </c>
      <c r="AJ17" s="119">
        <v>9.4</v>
      </c>
      <c r="AK17" s="119">
        <v>8.6999999999999993</v>
      </c>
      <c r="AL17" s="119">
        <v>9.5</v>
      </c>
      <c r="AM17" s="119">
        <v>9.3000000000000007</v>
      </c>
      <c r="AN17" s="119">
        <v>9.3000000000000007</v>
      </c>
      <c r="AO17" s="119">
        <v>8.4</v>
      </c>
      <c r="AP17" s="119">
        <v>9.1</v>
      </c>
      <c r="AQ17" s="119">
        <v>9.3000000000000007</v>
      </c>
      <c r="AR17" s="119">
        <v>9.6999999999999993</v>
      </c>
      <c r="AS17" s="119">
        <v>8.8000000000000007</v>
      </c>
      <c r="AT17" s="119">
        <v>9.6</v>
      </c>
      <c r="AU17" s="119">
        <v>9.8000000000000007</v>
      </c>
      <c r="AV17" s="119">
        <v>9.8000000000000007</v>
      </c>
      <c r="AW17" s="119">
        <v>8.9</v>
      </c>
      <c r="AX17" s="119">
        <v>9.6</v>
      </c>
      <c r="AY17" s="119">
        <v>9.8000000000000007</v>
      </c>
      <c r="AZ17" s="119">
        <v>9.9</v>
      </c>
      <c r="BA17" s="119">
        <v>8.8000000000000007</v>
      </c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</row>
    <row r="18" spans="1:321" x14ac:dyDescent="0.25">
      <c r="A18" s="128" t="s">
        <v>21</v>
      </c>
      <c r="B18" s="126">
        <f>SUM(B14:B17)</f>
        <v>99.999999999999986</v>
      </c>
      <c r="C18" s="126">
        <v>100</v>
      </c>
      <c r="D18" s="126">
        <v>100</v>
      </c>
      <c r="E18" s="126">
        <v>100</v>
      </c>
      <c r="F18" s="126">
        <v>100</v>
      </c>
      <c r="G18" s="126">
        <v>99.999999999999986</v>
      </c>
      <c r="H18" s="126">
        <v>99.999999999999986</v>
      </c>
      <c r="I18" s="126">
        <v>100.00000000000004</v>
      </c>
      <c r="J18" s="126">
        <v>100</v>
      </c>
      <c r="K18" s="126">
        <v>100.00000000000001</v>
      </c>
      <c r="L18" s="126">
        <v>100</v>
      </c>
      <c r="M18" s="126">
        <v>100</v>
      </c>
      <c r="N18" s="126">
        <v>100</v>
      </c>
      <c r="O18" s="126">
        <v>100</v>
      </c>
      <c r="P18" s="126">
        <v>99.999999999999986</v>
      </c>
      <c r="Q18" s="126">
        <v>100</v>
      </c>
      <c r="R18" s="126">
        <v>100</v>
      </c>
      <c r="S18" s="126">
        <v>100.00000000000001</v>
      </c>
      <c r="T18" s="126">
        <v>99.999999999999986</v>
      </c>
      <c r="U18" s="126">
        <v>100.00000000000003</v>
      </c>
      <c r="V18" s="126">
        <v>100</v>
      </c>
      <c r="W18" s="121">
        <v>100</v>
      </c>
      <c r="X18" s="121">
        <v>100.01930873692355</v>
      </c>
      <c r="Y18" s="121">
        <v>100</v>
      </c>
      <c r="Z18" s="121">
        <v>100</v>
      </c>
      <c r="AA18" s="121">
        <v>100</v>
      </c>
      <c r="AB18" s="121">
        <v>100</v>
      </c>
      <c r="AC18" s="121">
        <v>100</v>
      </c>
      <c r="AD18" s="121">
        <v>100</v>
      </c>
      <c r="AE18" s="121">
        <v>100</v>
      </c>
      <c r="AF18" s="121">
        <v>100</v>
      </c>
      <c r="AG18" s="121">
        <v>100</v>
      </c>
      <c r="AH18" s="121">
        <v>100</v>
      </c>
      <c r="AI18" s="121">
        <v>100</v>
      </c>
      <c r="AJ18" s="121">
        <v>100</v>
      </c>
      <c r="AK18" s="121">
        <v>100</v>
      </c>
      <c r="AL18" s="121">
        <v>100</v>
      </c>
      <c r="AM18" s="121">
        <v>100</v>
      </c>
      <c r="AN18" s="121">
        <v>100</v>
      </c>
      <c r="AO18" s="121">
        <v>100</v>
      </c>
      <c r="AP18" s="121">
        <v>100</v>
      </c>
      <c r="AQ18" s="121">
        <v>100</v>
      </c>
      <c r="AR18" s="121">
        <v>100</v>
      </c>
      <c r="AS18" s="121">
        <v>100</v>
      </c>
      <c r="AT18" s="121">
        <v>100</v>
      </c>
      <c r="AU18" s="121">
        <v>100</v>
      </c>
      <c r="AV18" s="121">
        <v>100</v>
      </c>
      <c r="AW18" s="121">
        <v>100</v>
      </c>
      <c r="AX18" s="121">
        <v>100</v>
      </c>
      <c r="AY18" s="121">
        <v>100</v>
      </c>
      <c r="AZ18" s="121">
        <v>100</v>
      </c>
      <c r="BA18" s="121">
        <v>100</v>
      </c>
      <c r="BB18" s="101"/>
      <c r="BC18" s="102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  <c r="IW18" s="129"/>
      <c r="IX18" s="129"/>
      <c r="IY18" s="129"/>
      <c r="IZ18" s="129"/>
      <c r="JA18" s="129"/>
      <c r="JB18" s="129"/>
      <c r="JC18" s="129"/>
      <c r="JD18" s="129"/>
      <c r="JE18" s="129"/>
      <c r="JF18" s="129"/>
      <c r="JG18" s="129"/>
      <c r="JH18" s="129"/>
      <c r="JI18" s="129"/>
      <c r="JJ18" s="129"/>
      <c r="JK18" s="129"/>
      <c r="JL18" s="129"/>
      <c r="JM18" s="129"/>
      <c r="JN18" s="129"/>
      <c r="JO18" s="129"/>
      <c r="JP18" s="129"/>
      <c r="JQ18" s="129"/>
      <c r="JR18" s="129"/>
      <c r="JS18" s="129"/>
      <c r="JT18" s="129"/>
      <c r="JU18" s="129"/>
      <c r="JV18" s="129"/>
      <c r="JW18" s="129"/>
      <c r="JX18" s="129"/>
      <c r="JY18" s="129"/>
      <c r="JZ18" s="129"/>
      <c r="KA18" s="129"/>
      <c r="KB18" s="129"/>
      <c r="KC18" s="129"/>
      <c r="KD18" s="129"/>
      <c r="KE18" s="129"/>
      <c r="KF18" s="129"/>
      <c r="KG18" s="129"/>
      <c r="KH18" s="129"/>
      <c r="KI18" s="129"/>
      <c r="KJ18" s="129"/>
      <c r="KK18" s="129"/>
      <c r="KL18" s="129"/>
      <c r="KM18" s="129"/>
      <c r="KN18" s="129"/>
      <c r="KO18" s="129"/>
      <c r="KP18" s="129"/>
      <c r="KQ18" s="129"/>
      <c r="KR18" s="129"/>
      <c r="KS18" s="129"/>
      <c r="KT18" s="129"/>
      <c r="KU18" s="129"/>
      <c r="KV18" s="129"/>
      <c r="KW18" s="129"/>
      <c r="KX18" s="129"/>
      <c r="KY18" s="129"/>
      <c r="KZ18" s="129"/>
      <c r="LA18" s="129"/>
      <c r="LB18" s="129"/>
      <c r="LC18" s="129"/>
      <c r="LD18" s="129"/>
      <c r="LE18" s="129"/>
      <c r="LF18" s="129"/>
      <c r="LG18" s="129"/>
      <c r="LH18" s="129"/>
      <c r="LI18" s="129"/>
    </row>
    <row r="19" spans="1:321" x14ac:dyDescent="0.2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11"/>
      <c r="S19" s="111"/>
      <c r="T19" s="111"/>
      <c r="U19" s="111"/>
      <c r="V19" s="111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  <c r="IX19" s="99"/>
      <c r="IY19" s="99"/>
      <c r="IZ19" s="99"/>
      <c r="JA19" s="99"/>
      <c r="JB19" s="99"/>
      <c r="JC19" s="99"/>
      <c r="JD19" s="99"/>
      <c r="JE19" s="99"/>
      <c r="JF19" s="99"/>
      <c r="JG19" s="99"/>
      <c r="JH19" s="99"/>
      <c r="JI19" s="99"/>
      <c r="JJ19" s="99"/>
      <c r="JK19" s="99"/>
      <c r="JL19" s="99"/>
      <c r="JM19" s="99"/>
      <c r="JN19" s="99"/>
      <c r="JO19" s="99"/>
      <c r="JP19" s="99"/>
      <c r="JQ19" s="99"/>
      <c r="JR19" s="99"/>
      <c r="JS19" s="99"/>
      <c r="JT19" s="99"/>
      <c r="JU19" s="99"/>
      <c r="JV19" s="99"/>
      <c r="JW19" s="99"/>
      <c r="JX19" s="99"/>
      <c r="JY19" s="99"/>
      <c r="JZ19" s="99"/>
      <c r="KA19" s="99"/>
      <c r="KB19" s="99"/>
      <c r="KC19" s="99"/>
      <c r="KD19" s="99"/>
      <c r="KE19" s="99"/>
      <c r="KF19" s="99"/>
      <c r="KG19" s="99"/>
      <c r="KH19" s="99"/>
      <c r="KI19" s="99"/>
      <c r="KJ19" s="99"/>
      <c r="KK19" s="99"/>
      <c r="KL19" s="99"/>
      <c r="KM19" s="99"/>
      <c r="KN19" s="99"/>
      <c r="KO19" s="99"/>
      <c r="KP19" s="99"/>
      <c r="KQ19" s="99"/>
      <c r="KR19" s="99"/>
      <c r="KS19" s="99"/>
      <c r="KT19" s="99"/>
      <c r="KU19" s="99"/>
      <c r="KV19" s="99"/>
      <c r="KW19" s="99"/>
      <c r="KX19" s="99"/>
      <c r="KY19" s="99"/>
      <c r="KZ19" s="99"/>
      <c r="LA19" s="99"/>
      <c r="LB19" s="99"/>
      <c r="LC19" s="99"/>
      <c r="LD19" s="99"/>
      <c r="LE19" s="99"/>
      <c r="LF19" s="99"/>
      <c r="LG19" s="99"/>
      <c r="LH19" s="99"/>
      <c r="LI19" s="99"/>
    </row>
    <row r="20" spans="1:321" x14ac:dyDescent="0.2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11"/>
      <c r="S20" s="111"/>
      <c r="T20" s="111"/>
      <c r="U20" s="111"/>
      <c r="V20" s="111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  <c r="IX20" s="99"/>
      <c r="IY20" s="99"/>
      <c r="IZ20" s="99"/>
      <c r="JA20" s="99"/>
      <c r="JB20" s="99"/>
      <c r="JC20" s="99"/>
      <c r="JD20" s="99"/>
      <c r="JE20" s="99"/>
      <c r="JF20" s="99"/>
      <c r="JG20" s="99"/>
      <c r="JH20" s="99"/>
      <c r="JI20" s="99"/>
      <c r="JJ20" s="99"/>
      <c r="JK20" s="99"/>
      <c r="JL20" s="99"/>
      <c r="JM20" s="99"/>
      <c r="JN20" s="99"/>
      <c r="JO20" s="99"/>
      <c r="JP20" s="99"/>
      <c r="JQ20" s="99"/>
      <c r="JR20" s="99"/>
      <c r="JS20" s="99"/>
      <c r="JT20" s="99"/>
      <c r="JU20" s="99"/>
      <c r="JV20" s="99"/>
      <c r="JW20" s="99"/>
      <c r="JX20" s="99"/>
      <c r="JY20" s="99"/>
      <c r="JZ20" s="99"/>
      <c r="KA20" s="99"/>
      <c r="KB20" s="99"/>
      <c r="KC20" s="99"/>
      <c r="KD20" s="99"/>
      <c r="KE20" s="99"/>
      <c r="KF20" s="99"/>
      <c r="KG20" s="99"/>
      <c r="KH20" s="99"/>
      <c r="KI20" s="99"/>
      <c r="KJ20" s="99"/>
      <c r="KK20" s="99"/>
      <c r="KL20" s="99"/>
      <c r="KM20" s="99"/>
      <c r="KN20" s="99"/>
      <c r="KO20" s="99"/>
      <c r="KP20" s="99"/>
      <c r="KQ20" s="99"/>
      <c r="KR20" s="99"/>
      <c r="KS20" s="99"/>
      <c r="KT20" s="99"/>
      <c r="KU20" s="99"/>
      <c r="KV20" s="99"/>
      <c r="KW20" s="99"/>
      <c r="KX20" s="99"/>
      <c r="KY20" s="99"/>
      <c r="KZ20" s="99"/>
      <c r="LA20" s="99"/>
      <c r="LB20" s="99"/>
      <c r="LC20" s="99"/>
      <c r="LD20" s="99"/>
      <c r="LE20" s="99"/>
      <c r="LF20" s="99"/>
      <c r="LG20" s="99"/>
      <c r="LH20" s="99"/>
      <c r="LI20" s="99"/>
    </row>
    <row r="21" spans="1:321" ht="15.75" x14ac:dyDescent="0.25">
      <c r="A21" s="158" t="s">
        <v>191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9"/>
      <c r="S21" s="159"/>
      <c r="T21" s="159"/>
      <c r="U21" s="159"/>
      <c r="V21" s="159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1"/>
      <c r="BC21" s="99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  <c r="IR21" s="122"/>
      <c r="IS21" s="122"/>
      <c r="IT21" s="122"/>
      <c r="IU21" s="122"/>
      <c r="IV21" s="122"/>
      <c r="IW21" s="122"/>
      <c r="IX21" s="122"/>
      <c r="IY21" s="122"/>
      <c r="IZ21" s="122"/>
      <c r="JA21" s="122"/>
      <c r="JB21" s="122"/>
      <c r="JC21" s="122"/>
      <c r="JD21" s="122"/>
      <c r="JE21" s="122"/>
      <c r="JF21" s="122"/>
      <c r="JG21" s="122"/>
      <c r="JH21" s="122"/>
      <c r="JI21" s="122"/>
      <c r="JJ21" s="122"/>
      <c r="JK21" s="122"/>
      <c r="JL21" s="122"/>
      <c r="JM21" s="122"/>
      <c r="JN21" s="122"/>
      <c r="JO21" s="122"/>
      <c r="JP21" s="122"/>
      <c r="JQ21" s="122"/>
      <c r="JR21" s="122"/>
      <c r="JS21" s="122"/>
      <c r="JT21" s="122"/>
      <c r="JU21" s="122"/>
      <c r="JV21" s="122"/>
      <c r="JW21" s="122"/>
      <c r="JX21" s="122"/>
      <c r="JY21" s="122"/>
      <c r="JZ21" s="122"/>
      <c r="KA21" s="122"/>
      <c r="KB21" s="122"/>
      <c r="KC21" s="122"/>
      <c r="KD21" s="122"/>
      <c r="KE21" s="122"/>
      <c r="KF21" s="122"/>
      <c r="KG21" s="122"/>
      <c r="KH21" s="122"/>
      <c r="KI21" s="122"/>
      <c r="KJ21" s="122"/>
      <c r="KK21" s="122"/>
      <c r="KL21" s="122"/>
      <c r="KM21" s="122"/>
      <c r="KN21" s="122"/>
      <c r="KO21" s="122"/>
      <c r="KP21" s="122"/>
      <c r="KQ21" s="122"/>
      <c r="KR21" s="122"/>
      <c r="KS21" s="122"/>
      <c r="KT21" s="122"/>
      <c r="KU21" s="122"/>
      <c r="KV21" s="122"/>
      <c r="KW21" s="122"/>
      <c r="KX21" s="122"/>
      <c r="KY21" s="122"/>
      <c r="KZ21" s="122"/>
      <c r="LA21" s="122"/>
      <c r="LB21" s="122"/>
      <c r="LC21" s="122"/>
      <c r="LD21" s="122"/>
      <c r="LE21" s="122"/>
      <c r="LF21" s="122"/>
      <c r="LG21" s="122"/>
      <c r="LH21" s="122"/>
      <c r="LI21" s="122"/>
    </row>
    <row r="22" spans="1:32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13"/>
      <c r="S22" s="113"/>
      <c r="T22" s="113"/>
      <c r="U22" s="113"/>
      <c r="V22" s="113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04"/>
      <c r="BC22" s="99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  <c r="IR22" s="122"/>
      <c r="IS22" s="122"/>
      <c r="IT22" s="122"/>
      <c r="IU22" s="122"/>
      <c r="IV22" s="122"/>
      <c r="IW22" s="122"/>
      <c r="IX22" s="122"/>
      <c r="IY22" s="122"/>
      <c r="IZ22" s="122"/>
      <c r="JA22" s="122"/>
      <c r="JB22" s="122"/>
      <c r="JC22" s="122"/>
      <c r="JD22" s="122"/>
      <c r="JE22" s="122"/>
      <c r="JF22" s="122"/>
      <c r="JG22" s="122"/>
      <c r="JH22" s="122"/>
      <c r="JI22" s="122"/>
      <c r="JJ22" s="122"/>
      <c r="JK22" s="122"/>
      <c r="JL22" s="122"/>
      <c r="JM22" s="122"/>
      <c r="JN22" s="122"/>
      <c r="JO22" s="122"/>
      <c r="JP22" s="122"/>
      <c r="JQ22" s="122"/>
      <c r="JR22" s="122"/>
      <c r="JS22" s="122"/>
      <c r="JT22" s="122"/>
      <c r="JU22" s="122"/>
      <c r="JV22" s="122"/>
      <c r="JW22" s="122"/>
      <c r="JX22" s="122"/>
      <c r="JY22" s="122"/>
      <c r="JZ22" s="122"/>
      <c r="KA22" s="122"/>
      <c r="KB22" s="122"/>
      <c r="KC22" s="122"/>
      <c r="KD22" s="122"/>
      <c r="KE22" s="122"/>
      <c r="KF22" s="122"/>
      <c r="KG22" s="122"/>
      <c r="KH22" s="122"/>
      <c r="KI22" s="122"/>
      <c r="KJ22" s="122"/>
      <c r="KK22" s="122"/>
      <c r="KL22" s="122"/>
      <c r="KM22" s="122"/>
      <c r="KN22" s="122"/>
      <c r="KO22" s="122"/>
      <c r="KP22" s="122"/>
      <c r="KQ22" s="122"/>
      <c r="KR22" s="122"/>
      <c r="KS22" s="122"/>
      <c r="KT22" s="122"/>
      <c r="KU22" s="122"/>
      <c r="KV22" s="122"/>
      <c r="KW22" s="122"/>
      <c r="KX22" s="122"/>
      <c r="KY22" s="122"/>
      <c r="KZ22" s="122"/>
      <c r="LA22" s="122"/>
      <c r="LB22" s="122"/>
      <c r="LC22" s="122"/>
      <c r="LD22" s="122"/>
      <c r="LE22" s="122"/>
      <c r="LF22" s="122"/>
      <c r="LG22" s="122"/>
      <c r="LH22" s="122"/>
      <c r="LI22" s="122"/>
    </row>
    <row r="23" spans="1:321" x14ac:dyDescent="0.25">
      <c r="A23" s="103" t="s">
        <v>186</v>
      </c>
      <c r="B23" s="112">
        <v>85.615770812409451</v>
      </c>
      <c r="C23" s="112">
        <v>85.341586608711296</v>
      </c>
      <c r="D23" s="112">
        <v>85.37326534496944</v>
      </c>
      <c r="E23" s="112">
        <v>86.135827010343519</v>
      </c>
      <c r="F23" s="112">
        <v>85.63946164017338</v>
      </c>
      <c r="G23" s="112">
        <v>85.392777949631864</v>
      </c>
      <c r="H23" s="112">
        <v>85.595706489823655</v>
      </c>
      <c r="I23" s="112">
        <v>86.497453608001479</v>
      </c>
      <c r="J23" s="112">
        <v>86.28780889674384</v>
      </c>
      <c r="K23" s="112">
        <v>86.642592294901604</v>
      </c>
      <c r="L23" s="112">
        <v>87.619453812473409</v>
      </c>
      <c r="M23" s="112">
        <v>85.659901714722722</v>
      </c>
      <c r="N23" s="112">
        <v>87.245160360514134</v>
      </c>
      <c r="O23" s="112">
        <v>87.705677550227264</v>
      </c>
      <c r="P23" s="112">
        <v>87.844366975840714</v>
      </c>
      <c r="Q23" s="112">
        <v>85.746598204454841</v>
      </c>
      <c r="R23" s="112">
        <v>84.904655436350453</v>
      </c>
      <c r="S23" s="112">
        <v>84.807724705960354</v>
      </c>
      <c r="T23" s="112">
        <v>84.836646582131266</v>
      </c>
      <c r="U23" s="123">
        <v>85.785771047531185</v>
      </c>
      <c r="V23" s="112">
        <v>84.884009378774337</v>
      </c>
      <c r="W23" s="118">
        <v>84.756779795449248</v>
      </c>
      <c r="X23" s="118">
        <v>84.90709628243134</v>
      </c>
      <c r="Y23" s="118">
        <v>85.6</v>
      </c>
      <c r="Z23" s="118">
        <v>84.9</v>
      </c>
      <c r="AA23" s="118">
        <v>84.6</v>
      </c>
      <c r="AB23" s="118">
        <v>84.8</v>
      </c>
      <c r="AC23" s="118">
        <v>85.6</v>
      </c>
      <c r="AD23" s="118">
        <v>84.8</v>
      </c>
      <c r="AE23" s="118">
        <v>84.5</v>
      </c>
      <c r="AF23" s="118">
        <v>84.3</v>
      </c>
      <c r="AG23" s="118">
        <v>84.8</v>
      </c>
      <c r="AH23" s="118">
        <v>84.1</v>
      </c>
      <c r="AI23" s="118">
        <v>83.7</v>
      </c>
      <c r="AJ23" s="118">
        <v>83.4</v>
      </c>
      <c r="AK23" s="118">
        <v>83.9</v>
      </c>
      <c r="AL23" s="118">
        <v>82.7</v>
      </c>
      <c r="AM23" s="118">
        <v>82.7</v>
      </c>
      <c r="AN23" s="118">
        <v>82.5</v>
      </c>
      <c r="AO23" s="118">
        <v>83.3</v>
      </c>
      <c r="AP23" s="118">
        <v>82.4</v>
      </c>
      <c r="AQ23" s="118">
        <v>82.1</v>
      </c>
      <c r="AR23" s="118">
        <v>82</v>
      </c>
      <c r="AS23" s="118">
        <v>83</v>
      </c>
      <c r="AT23" s="118">
        <v>82.2</v>
      </c>
      <c r="AU23" s="118">
        <v>81.8</v>
      </c>
      <c r="AV23" s="118">
        <v>81.8</v>
      </c>
      <c r="AW23" s="118">
        <v>82.6</v>
      </c>
      <c r="AX23" s="118">
        <v>81.8</v>
      </c>
      <c r="AY23" s="118">
        <v>81.7</v>
      </c>
      <c r="AZ23" s="118">
        <v>81.7</v>
      </c>
      <c r="BA23" s="118">
        <v>82.6</v>
      </c>
      <c r="BB23" s="100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</row>
    <row r="24" spans="1:321" x14ac:dyDescent="0.25">
      <c r="A24" s="106" t="s">
        <v>187</v>
      </c>
      <c r="B24" s="111">
        <v>8.3933250327971933</v>
      </c>
      <c r="C24" s="111">
        <v>8.5047437129772661</v>
      </c>
      <c r="D24" s="111">
        <v>8.1382482974892429</v>
      </c>
      <c r="E24" s="111">
        <v>7.7312093373535102</v>
      </c>
      <c r="F24" s="111">
        <v>7.6715969244410918</v>
      </c>
      <c r="G24" s="111">
        <v>7.6771720299781672</v>
      </c>
      <c r="H24" s="111">
        <v>7.6252651831041849</v>
      </c>
      <c r="I24" s="111">
        <v>7.4030834044816363</v>
      </c>
      <c r="J24" s="111">
        <v>7.4784131132188607</v>
      </c>
      <c r="K24" s="111">
        <v>7.2840687783148823</v>
      </c>
      <c r="L24" s="111">
        <v>6.7134029804659194</v>
      </c>
      <c r="M24" s="111">
        <v>7.8496867105899319</v>
      </c>
      <c r="N24" s="111">
        <v>7.0640722991216416</v>
      </c>
      <c r="O24" s="111">
        <v>6.5789510907775561</v>
      </c>
      <c r="P24" s="111">
        <v>6.4056167967678919</v>
      </c>
      <c r="Q24" s="111">
        <v>7.7924115193197183</v>
      </c>
      <c r="R24" s="111">
        <v>7.9525441377164814</v>
      </c>
      <c r="S24" s="111">
        <v>7.954716174532499</v>
      </c>
      <c r="T24" s="111">
        <v>7.9174363985921881</v>
      </c>
      <c r="U24" s="124">
        <v>7.7262700948147982</v>
      </c>
      <c r="V24" s="111">
        <v>7.9048281662961601</v>
      </c>
      <c r="W24" s="119">
        <v>7.9071956313604224</v>
      </c>
      <c r="X24" s="119">
        <v>7.8219741140652905</v>
      </c>
      <c r="Y24" s="119">
        <v>7.7</v>
      </c>
      <c r="Z24" s="119">
        <v>7.9</v>
      </c>
      <c r="AA24" s="119">
        <v>8</v>
      </c>
      <c r="AB24" s="119">
        <v>8</v>
      </c>
      <c r="AC24" s="119">
        <v>7.8</v>
      </c>
      <c r="AD24" s="119">
        <v>7.9</v>
      </c>
      <c r="AE24" s="119">
        <v>8.1</v>
      </c>
      <c r="AF24" s="119">
        <v>8.5</v>
      </c>
      <c r="AG24" s="119">
        <v>8.6999999999999993</v>
      </c>
      <c r="AH24" s="119">
        <v>8.8000000000000007</v>
      </c>
      <c r="AI24" s="119">
        <v>9</v>
      </c>
      <c r="AJ24" s="119">
        <v>9.1</v>
      </c>
      <c r="AK24" s="119">
        <v>8.9</v>
      </c>
      <c r="AL24" s="119">
        <v>9.1</v>
      </c>
      <c r="AM24" s="119">
        <v>9.1</v>
      </c>
      <c r="AN24" s="119">
        <v>9.1</v>
      </c>
      <c r="AO24" s="119">
        <v>9</v>
      </c>
      <c r="AP24" s="119">
        <v>9.4</v>
      </c>
      <c r="AQ24" s="119">
        <v>9.4</v>
      </c>
      <c r="AR24" s="119">
        <v>9.4</v>
      </c>
      <c r="AS24" s="119">
        <v>9.1999999999999993</v>
      </c>
      <c r="AT24" s="119">
        <v>9.4</v>
      </c>
      <c r="AU24" s="119">
        <v>9.6</v>
      </c>
      <c r="AV24" s="119">
        <v>9.6</v>
      </c>
      <c r="AW24" s="119">
        <v>9.4</v>
      </c>
      <c r="AX24" s="119">
        <v>9.5</v>
      </c>
      <c r="AY24" s="119">
        <v>9.3000000000000007</v>
      </c>
      <c r="AZ24" s="119">
        <v>9.4</v>
      </c>
      <c r="BA24" s="119">
        <v>9.1</v>
      </c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</row>
    <row r="25" spans="1:321" x14ac:dyDescent="0.25">
      <c r="A25" s="103" t="s">
        <v>188</v>
      </c>
      <c r="B25" s="112">
        <v>2.0722564438804421</v>
      </c>
      <c r="C25" s="112">
        <v>2.1047087510159277</v>
      </c>
      <c r="D25" s="112">
        <v>2.0808395949919167</v>
      </c>
      <c r="E25" s="112">
        <v>2.0657179429219239</v>
      </c>
      <c r="F25" s="112">
        <v>2.1014445299370901</v>
      </c>
      <c r="G25" s="112">
        <v>2.1345714075205411</v>
      </c>
      <c r="H25" s="112">
        <v>2.1402840360880209</v>
      </c>
      <c r="I25" s="112">
        <v>2.1250208176015555</v>
      </c>
      <c r="J25" s="112">
        <v>2.1660947563814634</v>
      </c>
      <c r="K25" s="112">
        <v>2.143783734542557</v>
      </c>
      <c r="L25" s="112">
        <v>2.0829203081382199</v>
      </c>
      <c r="M25" s="112">
        <v>2.1243400877009937</v>
      </c>
      <c r="N25" s="112">
        <v>2.1096566268283374</v>
      </c>
      <c r="O25" s="112">
        <v>2.0689833360722236</v>
      </c>
      <c r="P25" s="112">
        <v>1.9409035065276934</v>
      </c>
      <c r="Q25" s="112">
        <v>2.0956686002574783</v>
      </c>
      <c r="R25" s="112">
        <v>2.1423392734153568</v>
      </c>
      <c r="S25" s="112">
        <v>2.1765684625049886</v>
      </c>
      <c r="T25" s="112">
        <v>2.1539744876311531</v>
      </c>
      <c r="U25" s="123">
        <v>2.0796588570335235</v>
      </c>
      <c r="V25" s="112">
        <v>2.1926243821645066</v>
      </c>
      <c r="W25" s="118">
        <v>2.2356158841242175</v>
      </c>
      <c r="X25" s="118">
        <v>2.2111928827079232</v>
      </c>
      <c r="Y25" s="118">
        <v>2.2000000000000002</v>
      </c>
      <c r="Z25" s="118">
        <v>2.2999999999999998</v>
      </c>
      <c r="AA25" s="118">
        <v>2.2999999999999998</v>
      </c>
      <c r="AB25" s="118">
        <v>2.2000000000000002</v>
      </c>
      <c r="AC25" s="118">
        <v>2.1</v>
      </c>
      <c r="AD25" s="118">
        <v>2.2999999999999998</v>
      </c>
      <c r="AE25" s="118">
        <v>2.4</v>
      </c>
      <c r="AF25" s="118">
        <v>2.2999999999999998</v>
      </c>
      <c r="AG25" s="118">
        <v>2.2000000000000002</v>
      </c>
      <c r="AH25" s="118">
        <v>2.4</v>
      </c>
      <c r="AI25" s="118">
        <v>2.5</v>
      </c>
      <c r="AJ25" s="118">
        <v>2.7</v>
      </c>
      <c r="AK25" s="118">
        <v>2.8</v>
      </c>
      <c r="AL25" s="118">
        <v>3.1</v>
      </c>
      <c r="AM25" s="118">
        <v>3.1</v>
      </c>
      <c r="AN25" s="118">
        <v>3.2</v>
      </c>
      <c r="AO25" s="118">
        <v>3.1</v>
      </c>
      <c r="AP25" s="118">
        <v>3.2</v>
      </c>
      <c r="AQ25" s="118">
        <v>3.2</v>
      </c>
      <c r="AR25" s="118">
        <v>3.2</v>
      </c>
      <c r="AS25" s="118">
        <v>3.1</v>
      </c>
      <c r="AT25" s="118">
        <v>3.3</v>
      </c>
      <c r="AU25" s="118">
        <v>3.3</v>
      </c>
      <c r="AV25" s="118">
        <v>3.3</v>
      </c>
      <c r="AW25" s="118">
        <v>3.3</v>
      </c>
      <c r="AX25" s="118">
        <v>3.4</v>
      </c>
      <c r="AY25" s="118">
        <v>3.5</v>
      </c>
      <c r="AZ25" s="118">
        <v>3.6</v>
      </c>
      <c r="BA25" s="118">
        <v>3.5</v>
      </c>
      <c r="BB25" s="100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</row>
    <row r="26" spans="1:321" x14ac:dyDescent="0.25">
      <c r="A26" s="106" t="s">
        <v>192</v>
      </c>
      <c r="B26" s="111">
        <v>3.918647710912909</v>
      </c>
      <c r="C26" s="111">
        <v>4.0489609272955018</v>
      </c>
      <c r="D26" s="111">
        <v>4.4076467625494038</v>
      </c>
      <c r="E26" s="111">
        <v>4.0672457093810372</v>
      </c>
      <c r="F26" s="111">
        <v>4.5874969054484103</v>
      </c>
      <c r="G26" s="111">
        <v>4.7954786128694398</v>
      </c>
      <c r="H26" s="111">
        <v>4.638744290984163</v>
      </c>
      <c r="I26" s="111">
        <v>3.9744421699153145</v>
      </c>
      <c r="J26" s="111">
        <v>4.0676832336558419</v>
      </c>
      <c r="K26" s="111">
        <v>3.9295551922409655</v>
      </c>
      <c r="L26" s="111">
        <v>3.5842228989223996</v>
      </c>
      <c r="M26" s="111">
        <v>4.3660714869863488</v>
      </c>
      <c r="N26" s="111">
        <v>3.5811107135358644</v>
      </c>
      <c r="O26" s="111">
        <v>3.6463880229229471</v>
      </c>
      <c r="P26" s="111">
        <v>3.8091127208637063</v>
      </c>
      <c r="Q26" s="111">
        <v>4.3653216759679756</v>
      </c>
      <c r="R26" s="111">
        <v>5.0004611525177172</v>
      </c>
      <c r="S26" s="111">
        <v>5.0609906570021543</v>
      </c>
      <c r="T26" s="111">
        <v>5.0919425316453815</v>
      </c>
      <c r="U26" s="124">
        <v>4.4083000006204909</v>
      </c>
      <c r="V26" s="111">
        <v>5.0185380727649989</v>
      </c>
      <c r="W26" s="119">
        <v>5.1004086890661204</v>
      </c>
      <c r="X26" s="119">
        <v>5.0597367207954536</v>
      </c>
      <c r="Y26" s="119">
        <v>4.5</v>
      </c>
      <c r="Z26" s="119">
        <v>5</v>
      </c>
      <c r="AA26" s="119">
        <v>5.0999999999999996</v>
      </c>
      <c r="AB26" s="119">
        <v>5</v>
      </c>
      <c r="AC26" s="119">
        <v>4.5</v>
      </c>
      <c r="AD26" s="119">
        <v>5</v>
      </c>
      <c r="AE26" s="119">
        <v>5.0999999999999996</v>
      </c>
      <c r="AF26" s="119">
        <v>4.9000000000000004</v>
      </c>
      <c r="AG26" s="119">
        <v>4.3</v>
      </c>
      <c r="AH26" s="119">
        <v>4.7</v>
      </c>
      <c r="AI26" s="119">
        <v>4.8</v>
      </c>
      <c r="AJ26" s="119">
        <v>4.9000000000000004</v>
      </c>
      <c r="AK26" s="119">
        <v>4.5</v>
      </c>
      <c r="AL26" s="119">
        <v>5.0999999999999996</v>
      </c>
      <c r="AM26" s="119">
        <v>5.0999999999999996</v>
      </c>
      <c r="AN26" s="119">
        <v>5.2</v>
      </c>
      <c r="AO26" s="119">
        <v>4.5999999999999996</v>
      </c>
      <c r="AP26" s="119">
        <v>5.0999999999999996</v>
      </c>
      <c r="AQ26" s="119">
        <v>5.2</v>
      </c>
      <c r="AR26" s="119">
        <v>5.3</v>
      </c>
      <c r="AS26" s="119">
        <v>4.7</v>
      </c>
      <c r="AT26" s="119">
        <v>5.2</v>
      </c>
      <c r="AU26" s="119">
        <v>5.3</v>
      </c>
      <c r="AV26" s="119">
        <v>5.3</v>
      </c>
      <c r="AW26" s="119">
        <v>4.7</v>
      </c>
      <c r="AX26" s="119">
        <v>5.3</v>
      </c>
      <c r="AY26" s="119">
        <v>5.4</v>
      </c>
      <c r="AZ26" s="119">
        <v>5.4</v>
      </c>
      <c r="BA26" s="119">
        <v>4.8</v>
      </c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</row>
    <row r="27" spans="1:321" x14ac:dyDescent="0.25">
      <c r="A27" s="128" t="s">
        <v>21</v>
      </c>
      <c r="B27" s="126">
        <f>SUM(B23:B26)</f>
        <v>100</v>
      </c>
      <c r="C27" s="126">
        <v>99.999999999999986</v>
      </c>
      <c r="D27" s="126">
        <v>100</v>
      </c>
      <c r="E27" s="126">
        <v>99.999999999999986</v>
      </c>
      <c r="F27" s="126">
        <v>99.999999999999957</v>
      </c>
      <c r="G27" s="126">
        <v>100.00000000000001</v>
      </c>
      <c r="H27" s="126">
        <v>100.00000000000003</v>
      </c>
      <c r="I27" s="126">
        <v>99.999999999999986</v>
      </c>
      <c r="J27" s="126">
        <v>100.00000000000001</v>
      </c>
      <c r="K27" s="126">
        <v>100</v>
      </c>
      <c r="L27" s="126">
        <v>99.999999999999943</v>
      </c>
      <c r="M27" s="126">
        <v>100</v>
      </c>
      <c r="N27" s="126">
        <v>99.999999999999986</v>
      </c>
      <c r="O27" s="126">
        <v>99.999999999999986</v>
      </c>
      <c r="P27" s="126">
        <v>100</v>
      </c>
      <c r="Q27" s="126">
        <v>100.00000000000001</v>
      </c>
      <c r="R27" s="126">
        <v>100.00000000000001</v>
      </c>
      <c r="S27" s="126">
        <v>99.999999999999986</v>
      </c>
      <c r="T27" s="126">
        <v>99.999999999999986</v>
      </c>
      <c r="U27" s="126">
        <v>99.999999999999986</v>
      </c>
      <c r="V27" s="126">
        <v>100</v>
      </c>
      <c r="W27" s="121">
        <v>100</v>
      </c>
      <c r="X27" s="121">
        <v>100</v>
      </c>
      <c r="Y27" s="121">
        <v>100</v>
      </c>
      <c r="Z27" s="121">
        <v>100</v>
      </c>
      <c r="AA27" s="121">
        <v>100</v>
      </c>
      <c r="AB27" s="121">
        <v>100</v>
      </c>
      <c r="AC27" s="121">
        <v>100</v>
      </c>
      <c r="AD27" s="121">
        <v>100</v>
      </c>
      <c r="AE27" s="121">
        <v>100</v>
      </c>
      <c r="AF27" s="121">
        <v>100</v>
      </c>
      <c r="AG27" s="121">
        <v>100</v>
      </c>
      <c r="AH27" s="121">
        <v>100</v>
      </c>
      <c r="AI27" s="121">
        <v>100</v>
      </c>
      <c r="AJ27" s="121">
        <v>100</v>
      </c>
      <c r="AK27" s="121">
        <v>100</v>
      </c>
      <c r="AL27" s="121">
        <v>100</v>
      </c>
      <c r="AM27" s="121">
        <v>100</v>
      </c>
      <c r="AN27" s="121">
        <v>100</v>
      </c>
      <c r="AO27" s="121">
        <v>100</v>
      </c>
      <c r="AP27" s="121">
        <v>100</v>
      </c>
      <c r="AQ27" s="121">
        <v>100</v>
      </c>
      <c r="AR27" s="121">
        <v>100</v>
      </c>
      <c r="AS27" s="121">
        <v>100</v>
      </c>
      <c r="AT27" s="121">
        <v>100</v>
      </c>
      <c r="AU27" s="121">
        <v>100</v>
      </c>
      <c r="AV27" s="121">
        <v>100</v>
      </c>
      <c r="AW27" s="121">
        <v>100</v>
      </c>
      <c r="AX27" s="121">
        <v>100</v>
      </c>
      <c r="AY27" s="121">
        <v>100</v>
      </c>
      <c r="AZ27" s="121">
        <v>100</v>
      </c>
      <c r="BA27" s="121">
        <v>100</v>
      </c>
      <c r="BB27" s="101"/>
      <c r="BC27" s="102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  <c r="IW27" s="129"/>
      <c r="IX27" s="129"/>
      <c r="IY27" s="129"/>
      <c r="IZ27" s="129"/>
      <c r="JA27" s="129"/>
      <c r="JB27" s="129"/>
      <c r="JC27" s="129"/>
      <c r="JD27" s="129"/>
      <c r="JE27" s="129"/>
      <c r="JF27" s="129"/>
      <c r="JG27" s="129"/>
      <c r="JH27" s="129"/>
      <c r="JI27" s="129"/>
      <c r="JJ27" s="129"/>
      <c r="JK27" s="129"/>
      <c r="JL27" s="129"/>
      <c r="JM27" s="129"/>
      <c r="JN27" s="129"/>
      <c r="JO27" s="129"/>
      <c r="JP27" s="129"/>
      <c r="JQ27" s="129"/>
      <c r="JR27" s="129"/>
      <c r="JS27" s="129"/>
      <c r="JT27" s="129"/>
      <c r="JU27" s="129"/>
      <c r="JV27" s="129"/>
      <c r="JW27" s="129"/>
      <c r="JX27" s="129"/>
      <c r="JY27" s="129"/>
      <c r="JZ27" s="129"/>
      <c r="KA27" s="129"/>
      <c r="KB27" s="129"/>
      <c r="KC27" s="129"/>
      <c r="KD27" s="129"/>
      <c r="KE27" s="129"/>
      <c r="KF27" s="129"/>
      <c r="KG27" s="129"/>
      <c r="KH27" s="129"/>
      <c r="KI27" s="129"/>
      <c r="KJ27" s="129"/>
      <c r="KK27" s="129"/>
      <c r="KL27" s="129"/>
      <c r="KM27" s="129"/>
      <c r="KN27" s="129"/>
      <c r="KO27" s="129"/>
      <c r="KP27" s="129"/>
      <c r="KQ27" s="129"/>
      <c r="KR27" s="129"/>
      <c r="KS27" s="129"/>
      <c r="KT27" s="129"/>
      <c r="KU27" s="129"/>
      <c r="KV27" s="129"/>
      <c r="KW27" s="129"/>
      <c r="KX27" s="129"/>
      <c r="KY27" s="129"/>
      <c r="KZ27" s="129"/>
      <c r="LA27" s="129"/>
      <c r="LB27" s="129"/>
      <c r="LC27" s="129"/>
      <c r="LD27" s="129"/>
      <c r="LE27" s="129"/>
      <c r="LF27" s="129"/>
      <c r="LG27" s="129"/>
      <c r="LH27" s="129"/>
      <c r="LI27" s="129"/>
    </row>
    <row r="28" spans="1:321" x14ac:dyDescent="0.25">
      <c r="A28" s="128"/>
      <c r="B28" s="128"/>
      <c r="C28" s="128"/>
      <c r="D28" s="128"/>
      <c r="E28" s="128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32"/>
      <c r="V28" s="126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01"/>
      <c r="BC28" s="102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  <c r="IW28" s="129"/>
      <c r="IX28" s="129"/>
      <c r="IY28" s="129"/>
      <c r="IZ28" s="129"/>
      <c r="JA28" s="129"/>
      <c r="JB28" s="129"/>
      <c r="JC28" s="129"/>
      <c r="JD28" s="129"/>
      <c r="JE28" s="129"/>
      <c r="JF28" s="129"/>
      <c r="JG28" s="129"/>
      <c r="JH28" s="129"/>
      <c r="JI28" s="129"/>
      <c r="JJ28" s="129"/>
      <c r="JK28" s="129"/>
      <c r="JL28" s="129"/>
      <c r="JM28" s="129"/>
      <c r="JN28" s="129"/>
      <c r="JO28" s="129"/>
      <c r="JP28" s="129"/>
      <c r="JQ28" s="129"/>
      <c r="JR28" s="129"/>
      <c r="JS28" s="129"/>
      <c r="JT28" s="129"/>
      <c r="JU28" s="129"/>
      <c r="JV28" s="129"/>
      <c r="JW28" s="129"/>
      <c r="JX28" s="129"/>
      <c r="JY28" s="129"/>
      <c r="JZ28" s="129"/>
      <c r="KA28" s="129"/>
      <c r="KB28" s="129"/>
      <c r="KC28" s="129"/>
      <c r="KD28" s="129"/>
      <c r="KE28" s="129"/>
      <c r="KF28" s="129"/>
      <c r="KG28" s="129"/>
      <c r="KH28" s="129"/>
      <c r="KI28" s="129"/>
      <c r="KJ28" s="129"/>
      <c r="KK28" s="129"/>
      <c r="KL28" s="129"/>
      <c r="KM28" s="129"/>
      <c r="KN28" s="129"/>
      <c r="KO28" s="129"/>
      <c r="KP28" s="129"/>
      <c r="KQ28" s="129"/>
      <c r="KR28" s="129"/>
      <c r="KS28" s="129"/>
      <c r="KT28" s="129"/>
      <c r="KU28" s="129"/>
      <c r="KV28" s="129"/>
      <c r="KW28" s="129"/>
      <c r="KX28" s="129"/>
      <c r="KY28" s="129"/>
      <c r="KZ28" s="129"/>
      <c r="LA28" s="129"/>
      <c r="LB28" s="129"/>
      <c r="LC28" s="129"/>
      <c r="LD28" s="129"/>
      <c r="LE28" s="129"/>
      <c r="LF28" s="129"/>
      <c r="LG28" s="129"/>
      <c r="LH28" s="129"/>
      <c r="LI28" s="129"/>
    </row>
    <row r="29" spans="1:321" s="99" customFormat="1" ht="15.75" x14ac:dyDescent="0.25">
      <c r="A29" s="158" t="s">
        <v>193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/>
      <c r="S29" s="159"/>
      <c r="T29" s="159"/>
      <c r="U29" s="159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1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  <c r="IT29" s="162"/>
      <c r="IU29" s="162"/>
      <c r="IV29" s="162"/>
      <c r="IW29" s="162"/>
      <c r="IX29" s="162"/>
      <c r="IY29" s="162"/>
      <c r="IZ29" s="162"/>
      <c r="JA29" s="162"/>
      <c r="JB29" s="162"/>
      <c r="JC29" s="162"/>
      <c r="JD29" s="162"/>
      <c r="JE29" s="162"/>
      <c r="JF29" s="162"/>
      <c r="JG29" s="162"/>
      <c r="JH29" s="162"/>
      <c r="JI29" s="162"/>
      <c r="JJ29" s="162"/>
      <c r="JK29" s="162"/>
      <c r="JL29" s="162"/>
      <c r="JM29" s="162"/>
      <c r="JN29" s="162"/>
      <c r="JO29" s="162"/>
      <c r="JP29" s="162"/>
      <c r="JQ29" s="162"/>
      <c r="JR29" s="162"/>
      <c r="JS29" s="162"/>
      <c r="JT29" s="162"/>
      <c r="JU29" s="162"/>
      <c r="JV29" s="162"/>
      <c r="JW29" s="162"/>
      <c r="JX29" s="162"/>
      <c r="JY29" s="162"/>
      <c r="JZ29" s="162"/>
      <c r="KA29" s="162"/>
      <c r="KB29" s="162"/>
      <c r="KC29" s="162"/>
      <c r="KD29" s="162"/>
      <c r="KE29" s="162"/>
      <c r="KF29" s="162"/>
      <c r="KG29" s="162"/>
      <c r="KH29" s="162"/>
      <c r="KI29" s="162"/>
      <c r="KJ29" s="162"/>
      <c r="KK29" s="162"/>
      <c r="KL29" s="162"/>
      <c r="KM29" s="162"/>
      <c r="KN29" s="162"/>
      <c r="KO29" s="162"/>
      <c r="KP29" s="162"/>
      <c r="KQ29" s="162"/>
      <c r="KR29" s="162"/>
      <c r="KS29" s="162"/>
      <c r="KT29" s="162"/>
      <c r="KU29" s="162"/>
      <c r="KV29" s="162"/>
      <c r="KW29" s="162"/>
      <c r="KX29" s="162"/>
      <c r="KY29" s="162"/>
      <c r="KZ29" s="162"/>
      <c r="LA29" s="162"/>
      <c r="LB29" s="162"/>
      <c r="LC29" s="162"/>
      <c r="LD29" s="162"/>
      <c r="LE29" s="162"/>
      <c r="LF29" s="162"/>
      <c r="LG29" s="162"/>
      <c r="LH29" s="162"/>
      <c r="LI29" s="162"/>
    </row>
    <row r="30" spans="1:32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13"/>
      <c r="S30" s="113"/>
      <c r="T30" s="113"/>
      <c r="U30" s="113"/>
      <c r="V30" s="113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04"/>
      <c r="BC30" s="99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  <c r="IW30" s="122"/>
      <c r="IX30" s="122"/>
      <c r="IY30" s="122"/>
      <c r="IZ30" s="122"/>
      <c r="JA30" s="122"/>
      <c r="JB30" s="122"/>
      <c r="JC30" s="122"/>
      <c r="JD30" s="122"/>
      <c r="JE30" s="122"/>
      <c r="JF30" s="122"/>
      <c r="JG30" s="122"/>
      <c r="JH30" s="122"/>
      <c r="JI30" s="122"/>
      <c r="JJ30" s="122"/>
      <c r="JK30" s="122"/>
      <c r="JL30" s="122"/>
      <c r="JM30" s="122"/>
      <c r="JN30" s="122"/>
      <c r="JO30" s="122"/>
      <c r="JP30" s="122"/>
      <c r="JQ30" s="122"/>
      <c r="JR30" s="122"/>
      <c r="JS30" s="122"/>
      <c r="JT30" s="122"/>
      <c r="JU30" s="122"/>
      <c r="JV30" s="122"/>
      <c r="JW30" s="122"/>
      <c r="JX30" s="122"/>
      <c r="JY30" s="122"/>
      <c r="JZ30" s="122"/>
      <c r="KA30" s="122"/>
      <c r="KB30" s="122"/>
      <c r="KC30" s="122"/>
      <c r="KD30" s="122"/>
      <c r="KE30" s="122"/>
      <c r="KF30" s="122"/>
      <c r="KG30" s="122"/>
      <c r="KH30" s="122"/>
      <c r="KI30" s="122"/>
      <c r="KJ30" s="122"/>
      <c r="KK30" s="122"/>
      <c r="KL30" s="122"/>
      <c r="KM30" s="122"/>
      <c r="KN30" s="122"/>
      <c r="KO30" s="122"/>
      <c r="KP30" s="122"/>
      <c r="KQ30" s="122"/>
      <c r="KR30" s="122"/>
      <c r="KS30" s="122"/>
      <c r="KT30" s="122"/>
      <c r="KU30" s="122"/>
      <c r="KV30" s="122"/>
      <c r="KW30" s="122"/>
      <c r="KX30" s="122"/>
      <c r="KY30" s="122"/>
      <c r="KZ30" s="122"/>
      <c r="LA30" s="122"/>
      <c r="LB30" s="122"/>
      <c r="LC30" s="122"/>
      <c r="LD30" s="122"/>
      <c r="LE30" s="122"/>
      <c r="LF30" s="122"/>
      <c r="LG30" s="122"/>
      <c r="LH30" s="122"/>
      <c r="LI30" s="122"/>
    </row>
    <row r="31" spans="1:321" x14ac:dyDescent="0.25">
      <c r="A31" s="103" t="s">
        <v>186</v>
      </c>
      <c r="B31" s="112">
        <v>84.376142288033307</v>
      </c>
      <c r="C31" s="112">
        <v>84.05685790694865</v>
      </c>
      <c r="D31" s="112">
        <v>84.063317406269206</v>
      </c>
      <c r="E31" s="112">
        <v>84.860298238881356</v>
      </c>
      <c r="F31" s="112">
        <v>84.163922576564673</v>
      </c>
      <c r="G31" s="112">
        <v>84.163922576564673</v>
      </c>
      <c r="H31" s="112">
        <v>84.377849004564681</v>
      </c>
      <c r="I31" s="112">
        <v>85.240134116446086</v>
      </c>
      <c r="J31" s="112">
        <v>85.040266806192179</v>
      </c>
      <c r="K31" s="112">
        <v>85.38979911862296</v>
      </c>
      <c r="L31" s="112">
        <v>86.456636559569702</v>
      </c>
      <c r="M31" s="112">
        <v>84.12480819007277</v>
      </c>
      <c r="N31" s="112">
        <v>86.185240262320107</v>
      </c>
      <c r="O31" s="112">
        <v>86.721079323062611</v>
      </c>
      <c r="P31" s="112">
        <v>86.735406085830363</v>
      </c>
      <c r="Q31" s="112">
        <v>84.183420049365395</v>
      </c>
      <c r="R31" s="112">
        <v>83.360943019863754</v>
      </c>
      <c r="S31" s="112">
        <v>83.311289287555724</v>
      </c>
      <c r="T31" s="112">
        <v>83.348676495146137</v>
      </c>
      <c r="U31" s="123">
        <v>84.235942157345562</v>
      </c>
      <c r="V31" s="112">
        <v>70.043463768427443</v>
      </c>
      <c r="W31" s="118">
        <v>83.170590355862146</v>
      </c>
      <c r="X31" s="118">
        <v>83.323476708455885</v>
      </c>
      <c r="Y31" s="118">
        <v>84</v>
      </c>
      <c r="Z31" s="118">
        <v>83.4</v>
      </c>
      <c r="AA31" s="118">
        <v>83.2</v>
      </c>
      <c r="AB31" s="118">
        <v>83.3</v>
      </c>
      <c r="AC31" s="118">
        <v>84</v>
      </c>
      <c r="AD31" s="118">
        <v>83.3</v>
      </c>
      <c r="AE31" s="118">
        <v>82.9</v>
      </c>
      <c r="AF31" s="118">
        <v>82.8</v>
      </c>
      <c r="AG31" s="118">
        <v>83.2</v>
      </c>
      <c r="AH31" s="118">
        <v>82.5</v>
      </c>
      <c r="AI31" s="118">
        <v>82.1</v>
      </c>
      <c r="AJ31" s="118">
        <v>81.8</v>
      </c>
      <c r="AK31" s="118">
        <v>82.2</v>
      </c>
      <c r="AL31" s="118">
        <v>81.099999999999994</v>
      </c>
      <c r="AM31" s="118">
        <v>81.3</v>
      </c>
      <c r="AN31" s="118">
        <v>81</v>
      </c>
      <c r="AO31" s="118">
        <v>81.900000000000006</v>
      </c>
      <c r="AP31" s="118">
        <v>81</v>
      </c>
      <c r="AQ31" s="118">
        <v>80.7</v>
      </c>
      <c r="AR31" s="118">
        <v>80.599999999999994</v>
      </c>
      <c r="AS31" s="118">
        <v>81.400000000000006</v>
      </c>
      <c r="AT31" s="118">
        <v>80.7</v>
      </c>
      <c r="AU31" s="118">
        <v>80.400000000000006</v>
      </c>
      <c r="AV31" s="118">
        <v>80.400000000000006</v>
      </c>
      <c r="AW31" s="118">
        <v>81</v>
      </c>
      <c r="AX31" s="118">
        <v>80.400000000000006</v>
      </c>
      <c r="AY31" s="118">
        <v>80.400000000000006</v>
      </c>
      <c r="AZ31" s="118">
        <v>80.3</v>
      </c>
      <c r="BA31" s="118">
        <v>80.900000000000006</v>
      </c>
      <c r="BB31" s="100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  <c r="IW31" s="98"/>
      <c r="IX31" s="98"/>
      <c r="IY31" s="98"/>
      <c r="IZ31" s="98"/>
      <c r="JA31" s="98"/>
      <c r="JB31" s="98"/>
      <c r="JC31" s="98"/>
      <c r="JD31" s="98"/>
      <c r="JE31" s="98"/>
      <c r="JF31" s="98"/>
      <c r="JG31" s="98"/>
      <c r="JH31" s="98"/>
      <c r="JI31" s="98"/>
      <c r="JJ31" s="98"/>
      <c r="JK31" s="98"/>
      <c r="JL31" s="98"/>
      <c r="JM31" s="98"/>
      <c r="JN31" s="98"/>
      <c r="JO31" s="98"/>
      <c r="JP31" s="98"/>
      <c r="JQ31" s="98"/>
      <c r="JR31" s="98"/>
      <c r="JS31" s="98"/>
      <c r="JT31" s="98"/>
      <c r="JU31" s="98"/>
      <c r="JV31" s="98"/>
      <c r="JW31" s="98"/>
      <c r="JX31" s="98"/>
      <c r="JY31" s="98"/>
      <c r="JZ31" s="98"/>
      <c r="KA31" s="98"/>
      <c r="KB31" s="98"/>
      <c r="KC31" s="98"/>
      <c r="KD31" s="98"/>
      <c r="KE31" s="98"/>
      <c r="KF31" s="98"/>
      <c r="KG31" s="98"/>
      <c r="KH31" s="98"/>
      <c r="KI31" s="98"/>
      <c r="KJ31" s="98"/>
      <c r="KK31" s="98"/>
      <c r="KL31" s="98"/>
      <c r="KM31" s="98"/>
      <c r="KN31" s="98"/>
      <c r="KO31" s="98"/>
      <c r="KP31" s="98"/>
      <c r="KQ31" s="98"/>
      <c r="KR31" s="98"/>
      <c r="KS31" s="98"/>
      <c r="KT31" s="98"/>
      <c r="KU31" s="98"/>
      <c r="KV31" s="98"/>
      <c r="KW31" s="98"/>
      <c r="KX31" s="98"/>
      <c r="KY31" s="98"/>
      <c r="KZ31" s="98"/>
      <c r="LA31" s="98"/>
      <c r="LB31" s="98"/>
      <c r="LC31" s="98"/>
      <c r="LD31" s="98"/>
      <c r="LE31" s="98"/>
      <c r="LF31" s="98"/>
      <c r="LG31" s="98"/>
      <c r="LH31" s="98"/>
      <c r="LI31" s="98"/>
    </row>
    <row r="32" spans="1:321" x14ac:dyDescent="0.25">
      <c r="A32" s="106" t="s">
        <v>187</v>
      </c>
      <c r="B32" s="111">
        <v>9.7986006150116545</v>
      </c>
      <c r="C32" s="111">
        <v>9.9794918672197639</v>
      </c>
      <c r="D32" s="111">
        <v>9.5387152842047414</v>
      </c>
      <c r="E32" s="111">
        <v>9.0918831468746077</v>
      </c>
      <c r="F32" s="111">
        <v>9.0493205183850129</v>
      </c>
      <c r="G32" s="111">
        <v>9.0493205183850129</v>
      </c>
      <c r="H32" s="111">
        <v>8.9817728468298075</v>
      </c>
      <c r="I32" s="111">
        <v>8.7095620302667136</v>
      </c>
      <c r="J32" s="111">
        <v>8.8123366397946707</v>
      </c>
      <c r="K32" s="111">
        <v>8.6130805051350769</v>
      </c>
      <c r="L32" s="111">
        <v>7.8738082993888598</v>
      </c>
      <c r="M32" s="111">
        <v>9.4240722088472619</v>
      </c>
      <c r="N32" s="111">
        <v>8.2878304895290391</v>
      </c>
      <c r="O32" s="111">
        <v>7.734605681991007</v>
      </c>
      <c r="P32" s="111">
        <v>7.5760483556676199</v>
      </c>
      <c r="Q32" s="111">
        <v>9.3758612209019994</v>
      </c>
      <c r="R32" s="111">
        <v>9.5903073690022271</v>
      </c>
      <c r="S32" s="111">
        <v>9.5937233229025338</v>
      </c>
      <c r="T32" s="111">
        <v>9.5290084392505037</v>
      </c>
      <c r="U32" s="124">
        <v>9.2692213831932637</v>
      </c>
      <c r="V32" s="111">
        <v>16.900914107393763</v>
      </c>
      <c r="W32" s="119">
        <v>9.60384192491588</v>
      </c>
      <c r="X32" s="119">
        <v>9.4929421751428542</v>
      </c>
      <c r="Y32" s="119">
        <v>9.4</v>
      </c>
      <c r="Z32" s="119">
        <v>9.6</v>
      </c>
      <c r="AA32" s="119">
        <v>9.6999999999999993</v>
      </c>
      <c r="AB32" s="119">
        <v>9.6999999999999993</v>
      </c>
      <c r="AC32" s="119">
        <v>9.5</v>
      </c>
      <c r="AD32" s="119">
        <v>9.6</v>
      </c>
      <c r="AE32" s="119">
        <v>9.8000000000000007</v>
      </c>
      <c r="AF32" s="119">
        <v>10.3</v>
      </c>
      <c r="AG32" s="119">
        <v>10.4</v>
      </c>
      <c r="AH32" s="119">
        <v>10.6</v>
      </c>
      <c r="AI32" s="119">
        <v>10.9</v>
      </c>
      <c r="AJ32" s="119">
        <v>11</v>
      </c>
      <c r="AK32" s="119">
        <v>10.7</v>
      </c>
      <c r="AL32" s="119">
        <v>11</v>
      </c>
      <c r="AM32" s="119">
        <v>11</v>
      </c>
      <c r="AN32" s="119">
        <v>11.1</v>
      </c>
      <c r="AO32" s="119">
        <v>10.9</v>
      </c>
      <c r="AP32" s="119">
        <v>11.3</v>
      </c>
      <c r="AQ32" s="119">
        <v>11.4</v>
      </c>
      <c r="AR32" s="119">
        <v>11.4</v>
      </c>
      <c r="AS32" s="119">
        <v>11.2</v>
      </c>
      <c r="AT32" s="119">
        <v>11.3</v>
      </c>
      <c r="AU32" s="119">
        <v>11.6</v>
      </c>
      <c r="AV32" s="119">
        <v>11.6</v>
      </c>
      <c r="AW32" s="119">
        <v>11.4</v>
      </c>
      <c r="AX32" s="119">
        <v>11.5</v>
      </c>
      <c r="AY32" s="119">
        <v>11.5</v>
      </c>
      <c r="AZ32" s="119">
        <v>11.4</v>
      </c>
      <c r="BA32" s="119">
        <v>11.3</v>
      </c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8"/>
      <c r="IZ32" s="98"/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8"/>
      <c r="JO32" s="98"/>
      <c r="JP32" s="98"/>
      <c r="JQ32" s="98"/>
      <c r="JR32" s="98"/>
      <c r="JS32" s="98"/>
      <c r="JT32" s="98"/>
      <c r="JU32" s="98"/>
      <c r="JV32" s="98"/>
      <c r="JW32" s="98"/>
      <c r="JX32" s="98"/>
      <c r="JY32" s="98"/>
      <c r="JZ32" s="98"/>
      <c r="KA32" s="98"/>
      <c r="KB32" s="98"/>
      <c r="KC32" s="98"/>
      <c r="KD32" s="98"/>
      <c r="KE32" s="98"/>
      <c r="KF32" s="98"/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8"/>
      <c r="KU32" s="98"/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8"/>
    </row>
    <row r="33" spans="1:321" x14ac:dyDescent="0.25">
      <c r="A33" s="103" t="s">
        <v>188</v>
      </c>
      <c r="B33" s="112">
        <v>2.0200215607788801</v>
      </c>
      <c r="C33" s="112">
        <v>2.0642158047119952</v>
      </c>
      <c r="D33" s="112">
        <v>2.0507906165578476</v>
      </c>
      <c r="E33" s="112">
        <v>1.9476967496402315</v>
      </c>
      <c r="F33" s="112">
        <v>2.0904656548651244</v>
      </c>
      <c r="G33" s="112">
        <v>2.0904656548651244</v>
      </c>
      <c r="H33" s="112">
        <v>2.0628151159984212</v>
      </c>
      <c r="I33" s="112">
        <v>2.016908969604331</v>
      </c>
      <c r="J33" s="112">
        <v>2.0505960286013512</v>
      </c>
      <c r="K33" s="112">
        <v>2.0664520727808626</v>
      </c>
      <c r="L33" s="112">
        <v>2.0424485657835199</v>
      </c>
      <c r="M33" s="112">
        <v>1.9752840669651419</v>
      </c>
      <c r="N33" s="112">
        <v>1.9075136221177931</v>
      </c>
      <c r="O33" s="112">
        <v>1.8689441084395833</v>
      </c>
      <c r="P33" s="112">
        <v>1.7956441127356733</v>
      </c>
      <c r="Q33" s="112">
        <v>1.95840683868771</v>
      </c>
      <c r="R33" s="112">
        <v>1.9716867677771823</v>
      </c>
      <c r="S33" s="112">
        <v>2.0166949594734143</v>
      </c>
      <c r="T33" s="112">
        <v>1.9848968072093698</v>
      </c>
      <c r="U33" s="123">
        <v>1.9443564202250463</v>
      </c>
      <c r="V33" s="112">
        <v>3.8937454092722299</v>
      </c>
      <c r="W33" s="118">
        <v>2.0709636974534407</v>
      </c>
      <c r="X33" s="118">
        <v>2.0219327582942848</v>
      </c>
      <c r="Y33" s="118">
        <v>2</v>
      </c>
      <c r="Z33" s="118">
        <v>2</v>
      </c>
      <c r="AA33" s="118">
        <v>2</v>
      </c>
      <c r="AB33" s="118">
        <v>2</v>
      </c>
      <c r="AC33" s="118">
        <v>2</v>
      </c>
      <c r="AD33" s="118">
        <v>2.1</v>
      </c>
      <c r="AE33" s="118">
        <v>2.2000000000000002</v>
      </c>
      <c r="AF33" s="118">
        <v>2.1</v>
      </c>
      <c r="AG33" s="118">
        <v>2.1</v>
      </c>
      <c r="AH33" s="118">
        <v>2.2000000000000002</v>
      </c>
      <c r="AI33" s="118">
        <v>2.2999999999999998</v>
      </c>
      <c r="AJ33" s="118">
        <v>2.5</v>
      </c>
      <c r="AK33" s="118">
        <v>2.6</v>
      </c>
      <c r="AL33" s="118">
        <v>2.9</v>
      </c>
      <c r="AM33" s="118">
        <v>2.9</v>
      </c>
      <c r="AN33" s="118">
        <v>3</v>
      </c>
      <c r="AO33" s="118">
        <v>2.9</v>
      </c>
      <c r="AP33" s="118">
        <v>2.9</v>
      </c>
      <c r="AQ33" s="118">
        <v>2.9</v>
      </c>
      <c r="AR33" s="118">
        <v>3.1</v>
      </c>
      <c r="AS33" s="118">
        <v>2.9</v>
      </c>
      <c r="AT33" s="118">
        <v>3</v>
      </c>
      <c r="AU33" s="118">
        <v>3.1</v>
      </c>
      <c r="AV33" s="118">
        <v>3.1</v>
      </c>
      <c r="AW33" s="118">
        <v>3.2</v>
      </c>
      <c r="AX33" s="118">
        <v>3.1</v>
      </c>
      <c r="AY33" s="118">
        <v>3.2</v>
      </c>
      <c r="AZ33" s="118">
        <v>3.2</v>
      </c>
      <c r="BA33" s="118">
        <v>3.3</v>
      </c>
      <c r="BB33" s="100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  <c r="IW33" s="98"/>
      <c r="IX33" s="98"/>
      <c r="IY33" s="98"/>
      <c r="IZ33" s="98"/>
      <c r="JA33" s="98"/>
      <c r="JB33" s="98"/>
      <c r="JC33" s="98"/>
      <c r="JD33" s="98"/>
      <c r="JE33" s="98"/>
      <c r="JF33" s="98"/>
      <c r="JG33" s="98"/>
      <c r="JH33" s="98"/>
      <c r="JI33" s="98"/>
      <c r="JJ33" s="98"/>
      <c r="JK33" s="98"/>
      <c r="JL33" s="98"/>
      <c r="JM33" s="98"/>
      <c r="JN33" s="98"/>
      <c r="JO33" s="98"/>
      <c r="JP33" s="98"/>
      <c r="JQ33" s="98"/>
      <c r="JR33" s="98"/>
      <c r="JS33" s="98"/>
      <c r="JT33" s="98"/>
      <c r="JU33" s="98"/>
      <c r="JV33" s="98"/>
      <c r="JW33" s="98"/>
      <c r="JX33" s="98"/>
      <c r="JY33" s="98"/>
      <c r="JZ33" s="98"/>
      <c r="KA33" s="98"/>
      <c r="KB33" s="98"/>
      <c r="KC33" s="98"/>
      <c r="KD33" s="98"/>
      <c r="KE33" s="98"/>
      <c r="KF33" s="98"/>
      <c r="KG33" s="98"/>
      <c r="KH33" s="98"/>
      <c r="KI33" s="98"/>
      <c r="KJ33" s="98"/>
      <c r="KK33" s="98"/>
      <c r="KL33" s="98"/>
      <c r="KM33" s="98"/>
      <c r="KN33" s="98"/>
      <c r="KO33" s="98"/>
      <c r="KP33" s="98"/>
      <c r="KQ33" s="98"/>
      <c r="KR33" s="98"/>
      <c r="KS33" s="98"/>
      <c r="KT33" s="98"/>
      <c r="KU33" s="98"/>
      <c r="KV33" s="98"/>
      <c r="KW33" s="98"/>
      <c r="KX33" s="98"/>
      <c r="KY33" s="98"/>
      <c r="KZ33" s="98"/>
      <c r="LA33" s="98"/>
      <c r="LB33" s="98"/>
      <c r="LC33" s="98"/>
      <c r="LD33" s="98"/>
      <c r="LE33" s="98"/>
      <c r="LF33" s="98"/>
      <c r="LG33" s="98"/>
      <c r="LH33" s="98"/>
      <c r="LI33" s="98"/>
    </row>
    <row r="34" spans="1:321" x14ac:dyDescent="0.25">
      <c r="A34" s="106" t="s">
        <v>192</v>
      </c>
      <c r="B34" s="111">
        <v>3.805235536176157</v>
      </c>
      <c r="C34" s="111">
        <v>3.8994344211195702</v>
      </c>
      <c r="D34" s="111">
        <v>4.3471766929682252</v>
      </c>
      <c r="E34" s="111">
        <v>4.100121864603806</v>
      </c>
      <c r="F34" s="111">
        <v>4.6962912501851912</v>
      </c>
      <c r="G34" s="111">
        <v>4.6962912501851912</v>
      </c>
      <c r="H34" s="111">
        <v>4.577563032607098</v>
      </c>
      <c r="I34" s="111">
        <v>4.033394883682881</v>
      </c>
      <c r="J34" s="111">
        <v>4.0968005254118021</v>
      </c>
      <c r="K34" s="111">
        <v>3.9306683034610881</v>
      </c>
      <c r="L34" s="111">
        <v>3.6271065752579199</v>
      </c>
      <c r="M34" s="111">
        <v>4.4758355341148182</v>
      </c>
      <c r="N34" s="111">
        <v>3.6194156260330748</v>
      </c>
      <c r="O34" s="111">
        <v>3.6753708865067916</v>
      </c>
      <c r="P34" s="111">
        <v>3.8929014457663413</v>
      </c>
      <c r="Q34" s="111">
        <v>4.4823118910449198</v>
      </c>
      <c r="R34" s="111">
        <v>5.077062843356849</v>
      </c>
      <c r="S34" s="111">
        <v>5.0782924300683314</v>
      </c>
      <c r="T34" s="111">
        <v>5.1374182583939865</v>
      </c>
      <c r="U34" s="124">
        <v>4.5504800392361329</v>
      </c>
      <c r="V34" s="111">
        <v>9.1618767149065619</v>
      </c>
      <c r="W34" s="119">
        <v>5.1546040217685416</v>
      </c>
      <c r="X34" s="119">
        <v>5.1616483581069978</v>
      </c>
      <c r="Y34" s="119">
        <v>4.5999999999999996</v>
      </c>
      <c r="Z34" s="119">
        <v>5</v>
      </c>
      <c r="AA34" s="119">
        <v>5.0999999999999996</v>
      </c>
      <c r="AB34" s="119">
        <v>5</v>
      </c>
      <c r="AC34" s="119">
        <v>4.5999999999999996</v>
      </c>
      <c r="AD34" s="119">
        <v>5</v>
      </c>
      <c r="AE34" s="119">
        <v>5.0999999999999996</v>
      </c>
      <c r="AF34" s="119">
        <v>4.9000000000000004</v>
      </c>
      <c r="AG34" s="119">
        <v>4.3</v>
      </c>
      <c r="AH34" s="119">
        <v>4.7</v>
      </c>
      <c r="AI34" s="119">
        <v>4.7</v>
      </c>
      <c r="AJ34" s="119">
        <v>4.8</v>
      </c>
      <c r="AK34" s="119">
        <v>4.5</v>
      </c>
      <c r="AL34" s="119">
        <v>5</v>
      </c>
      <c r="AM34" s="119">
        <v>4.9000000000000004</v>
      </c>
      <c r="AN34" s="119">
        <v>4.9000000000000004</v>
      </c>
      <c r="AO34" s="119">
        <v>4.4000000000000004</v>
      </c>
      <c r="AP34" s="119">
        <v>4.8</v>
      </c>
      <c r="AQ34" s="119">
        <v>4.9000000000000004</v>
      </c>
      <c r="AR34" s="119">
        <v>5</v>
      </c>
      <c r="AS34" s="119">
        <v>4.5</v>
      </c>
      <c r="AT34" s="119">
        <v>4.9000000000000004</v>
      </c>
      <c r="AU34" s="119">
        <v>4.9000000000000004</v>
      </c>
      <c r="AV34" s="119">
        <v>4.9000000000000004</v>
      </c>
      <c r="AW34" s="119">
        <v>4.5</v>
      </c>
      <c r="AX34" s="119">
        <v>4.9000000000000004</v>
      </c>
      <c r="AY34" s="119">
        <v>5</v>
      </c>
      <c r="AZ34" s="119">
        <v>5.0999999999999996</v>
      </c>
      <c r="BA34" s="119">
        <v>4.5</v>
      </c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  <c r="IW34" s="98"/>
      <c r="IX34" s="98"/>
      <c r="IY34" s="98"/>
      <c r="IZ34" s="98"/>
      <c r="JA34" s="98"/>
      <c r="JB34" s="98"/>
      <c r="JC34" s="98"/>
      <c r="JD34" s="98"/>
      <c r="JE34" s="98"/>
      <c r="JF34" s="98"/>
      <c r="JG34" s="98"/>
      <c r="JH34" s="98"/>
      <c r="JI34" s="98"/>
      <c r="JJ34" s="98"/>
      <c r="JK34" s="98"/>
      <c r="JL34" s="98"/>
      <c r="JM34" s="98"/>
      <c r="JN34" s="98"/>
      <c r="JO34" s="98"/>
      <c r="JP34" s="98"/>
      <c r="JQ34" s="98"/>
      <c r="JR34" s="98"/>
      <c r="JS34" s="98"/>
      <c r="JT34" s="98"/>
      <c r="JU34" s="98"/>
      <c r="JV34" s="98"/>
      <c r="JW34" s="98"/>
      <c r="JX34" s="98"/>
      <c r="JY34" s="98"/>
      <c r="JZ34" s="98"/>
      <c r="KA34" s="98"/>
      <c r="KB34" s="98"/>
      <c r="KC34" s="98"/>
      <c r="KD34" s="98"/>
      <c r="KE34" s="98"/>
      <c r="KF34" s="98"/>
      <c r="KG34" s="98"/>
      <c r="KH34" s="98"/>
      <c r="KI34" s="98"/>
      <c r="KJ34" s="98"/>
      <c r="KK34" s="98"/>
      <c r="KL34" s="98"/>
      <c r="KM34" s="98"/>
      <c r="KN34" s="98"/>
      <c r="KO34" s="98"/>
      <c r="KP34" s="98"/>
      <c r="KQ34" s="98"/>
      <c r="KR34" s="98"/>
      <c r="KS34" s="98"/>
      <c r="KT34" s="98"/>
      <c r="KU34" s="98"/>
      <c r="KV34" s="98"/>
      <c r="KW34" s="98"/>
      <c r="KX34" s="98"/>
      <c r="KY34" s="98"/>
      <c r="KZ34" s="98"/>
      <c r="LA34" s="98"/>
      <c r="LB34" s="98"/>
      <c r="LC34" s="98"/>
      <c r="LD34" s="98"/>
      <c r="LE34" s="98"/>
      <c r="LF34" s="98"/>
      <c r="LG34" s="98"/>
      <c r="LH34" s="98"/>
      <c r="LI34" s="98"/>
    </row>
    <row r="35" spans="1:321" x14ac:dyDescent="0.25">
      <c r="A35" s="128" t="s">
        <v>21</v>
      </c>
      <c r="B35" s="126">
        <f>SUM(B31:B34)</f>
        <v>100</v>
      </c>
      <c r="C35" s="126">
        <v>99.999999999999972</v>
      </c>
      <c r="D35" s="126">
        <v>100.00000000000001</v>
      </c>
      <c r="E35" s="126">
        <v>100</v>
      </c>
      <c r="F35" s="126">
        <v>100.00000000000001</v>
      </c>
      <c r="G35" s="126">
        <v>100.00000000000001</v>
      </c>
      <c r="H35" s="126">
        <v>100.00000000000001</v>
      </c>
      <c r="I35" s="126">
        <v>100</v>
      </c>
      <c r="J35" s="126">
        <v>100</v>
      </c>
      <c r="K35" s="126">
        <v>99.999999999999986</v>
      </c>
      <c r="L35" s="126">
        <v>100</v>
      </c>
      <c r="M35" s="126">
        <v>100</v>
      </c>
      <c r="N35" s="126">
        <v>100.00000000000001</v>
      </c>
      <c r="O35" s="126">
        <v>100</v>
      </c>
      <c r="P35" s="126">
        <v>100</v>
      </c>
      <c r="Q35" s="126">
        <v>100.00000000000001</v>
      </c>
      <c r="R35" s="126">
        <v>100.00000000000003</v>
      </c>
      <c r="S35" s="126">
        <v>100</v>
      </c>
      <c r="T35" s="126">
        <v>100</v>
      </c>
      <c r="U35" s="126">
        <v>100.00000000000001</v>
      </c>
      <c r="V35" s="126">
        <v>100</v>
      </c>
      <c r="W35" s="121">
        <v>100.00000000000003</v>
      </c>
      <c r="X35" s="121">
        <v>100.00000000000003</v>
      </c>
      <c r="Y35" s="121">
        <v>100</v>
      </c>
      <c r="Z35" s="121">
        <v>100</v>
      </c>
      <c r="AA35" s="121">
        <v>100</v>
      </c>
      <c r="AB35" s="121">
        <v>100</v>
      </c>
      <c r="AC35" s="121">
        <v>-100</v>
      </c>
      <c r="AD35" s="121">
        <v>100</v>
      </c>
      <c r="AE35" s="121">
        <v>100</v>
      </c>
      <c r="AF35" s="121">
        <v>100</v>
      </c>
      <c r="AG35" s="121">
        <v>100</v>
      </c>
      <c r="AH35" s="121">
        <v>100</v>
      </c>
      <c r="AI35" s="121">
        <v>100</v>
      </c>
      <c r="AJ35" s="121">
        <v>100</v>
      </c>
      <c r="AK35" s="121">
        <v>100</v>
      </c>
      <c r="AL35" s="121">
        <v>100</v>
      </c>
      <c r="AM35" s="121">
        <v>100</v>
      </c>
      <c r="AN35" s="121">
        <v>100</v>
      </c>
      <c r="AO35" s="121">
        <v>100</v>
      </c>
      <c r="AP35" s="121">
        <v>100</v>
      </c>
      <c r="AQ35" s="121">
        <v>100</v>
      </c>
      <c r="AR35" s="121">
        <v>100</v>
      </c>
      <c r="AS35" s="121">
        <v>100</v>
      </c>
      <c r="AT35" s="121">
        <v>100</v>
      </c>
      <c r="AU35" s="121">
        <v>100</v>
      </c>
      <c r="AV35" s="121">
        <v>100</v>
      </c>
      <c r="AW35" s="121">
        <v>100</v>
      </c>
      <c r="AX35" s="121">
        <v>100</v>
      </c>
      <c r="AY35" s="121">
        <v>100</v>
      </c>
      <c r="AZ35" s="121">
        <v>100</v>
      </c>
      <c r="BA35" s="121">
        <v>100</v>
      </c>
      <c r="BB35" s="101"/>
      <c r="BC35" s="102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  <c r="IW35" s="129"/>
      <c r="IX35" s="129"/>
      <c r="IY35" s="129"/>
      <c r="IZ35" s="129"/>
      <c r="JA35" s="129"/>
      <c r="JB35" s="129"/>
      <c r="JC35" s="129"/>
      <c r="JD35" s="129"/>
      <c r="JE35" s="129"/>
      <c r="JF35" s="129"/>
      <c r="JG35" s="129"/>
      <c r="JH35" s="129"/>
      <c r="JI35" s="129"/>
      <c r="JJ35" s="129"/>
      <c r="JK35" s="129"/>
      <c r="JL35" s="129"/>
      <c r="JM35" s="129"/>
      <c r="JN35" s="129"/>
      <c r="JO35" s="129"/>
      <c r="JP35" s="129"/>
      <c r="JQ35" s="129"/>
      <c r="JR35" s="129"/>
      <c r="JS35" s="129"/>
      <c r="JT35" s="129"/>
      <c r="JU35" s="129"/>
      <c r="JV35" s="129"/>
      <c r="JW35" s="129"/>
      <c r="JX35" s="129"/>
      <c r="JY35" s="129"/>
      <c r="JZ35" s="129"/>
      <c r="KA35" s="129"/>
      <c r="KB35" s="129"/>
      <c r="KC35" s="129"/>
      <c r="KD35" s="129"/>
      <c r="KE35" s="129"/>
      <c r="KF35" s="129"/>
      <c r="KG35" s="129"/>
      <c r="KH35" s="129"/>
      <c r="KI35" s="129"/>
      <c r="KJ35" s="129"/>
      <c r="KK35" s="129"/>
      <c r="KL35" s="129"/>
      <c r="KM35" s="129"/>
      <c r="KN35" s="129"/>
      <c r="KO35" s="129"/>
      <c r="KP35" s="129"/>
      <c r="KQ35" s="129"/>
      <c r="KR35" s="129"/>
      <c r="KS35" s="129"/>
      <c r="KT35" s="129"/>
      <c r="KU35" s="129"/>
      <c r="KV35" s="129"/>
      <c r="KW35" s="129"/>
      <c r="KX35" s="129"/>
      <c r="KY35" s="129"/>
      <c r="KZ35" s="129"/>
      <c r="LA35" s="129"/>
      <c r="LB35" s="129"/>
      <c r="LC35" s="129"/>
      <c r="LD35" s="129"/>
      <c r="LE35" s="129"/>
      <c r="LF35" s="129"/>
      <c r="LG35" s="129"/>
      <c r="LH35" s="129"/>
      <c r="LI35" s="129"/>
    </row>
    <row r="36" spans="1:321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11"/>
      <c r="S36" s="111"/>
      <c r="T36" s="111"/>
      <c r="U36" s="124"/>
      <c r="V36" s="111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99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98"/>
      <c r="JS36" s="98"/>
      <c r="JT36" s="98"/>
      <c r="JU36" s="98"/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</row>
    <row r="37" spans="1:321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11"/>
      <c r="S37" s="111"/>
      <c r="T37" s="111"/>
      <c r="U37" s="124"/>
      <c r="V37" s="111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99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  <c r="IW37" s="98"/>
      <c r="IX37" s="98"/>
      <c r="IY37" s="98"/>
      <c r="IZ37" s="98"/>
      <c r="JA37" s="98"/>
      <c r="JB37" s="98"/>
      <c r="JC37" s="98"/>
      <c r="JD37" s="98"/>
      <c r="JE37" s="98"/>
      <c r="JF37" s="98"/>
      <c r="JG37" s="98"/>
      <c r="JH37" s="98"/>
      <c r="JI37" s="98"/>
      <c r="JJ37" s="98"/>
      <c r="JK37" s="98"/>
      <c r="JL37" s="98"/>
      <c r="JM37" s="98"/>
      <c r="JN37" s="98"/>
      <c r="JO37" s="98"/>
      <c r="JP37" s="98"/>
      <c r="JQ37" s="98"/>
      <c r="JR37" s="98"/>
      <c r="JS37" s="98"/>
      <c r="JT37" s="98"/>
      <c r="JU37" s="98"/>
      <c r="JV37" s="98"/>
      <c r="JW37" s="98"/>
      <c r="JX37" s="98"/>
      <c r="JY37" s="98"/>
      <c r="JZ37" s="98"/>
      <c r="KA37" s="98"/>
      <c r="KB37" s="98"/>
      <c r="KC37" s="98"/>
      <c r="KD37" s="98"/>
      <c r="KE37" s="98"/>
      <c r="KF37" s="98"/>
      <c r="KG37" s="98"/>
      <c r="KH37" s="98"/>
      <c r="KI37" s="98"/>
      <c r="KJ37" s="98"/>
      <c r="KK37" s="98"/>
      <c r="KL37" s="98"/>
      <c r="KM37" s="98"/>
      <c r="KN37" s="98"/>
      <c r="KO37" s="98"/>
      <c r="KP37" s="98"/>
      <c r="KQ37" s="98"/>
      <c r="KR37" s="98"/>
      <c r="KS37" s="98"/>
      <c r="KT37" s="98"/>
      <c r="KU37" s="98"/>
      <c r="KV37" s="98"/>
      <c r="KW37" s="98"/>
      <c r="KX37" s="98"/>
      <c r="KY37" s="98"/>
      <c r="KZ37" s="98"/>
      <c r="LA37" s="98"/>
      <c r="LB37" s="98"/>
      <c r="LC37" s="98"/>
      <c r="LD37" s="98"/>
      <c r="LE37" s="98"/>
      <c r="LF37" s="98"/>
      <c r="LG37" s="98"/>
      <c r="LH37" s="98"/>
      <c r="LI37" s="98"/>
    </row>
    <row r="38" spans="1:321" ht="15.75" x14ac:dyDescent="0.25">
      <c r="A38" s="158" t="s">
        <v>194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9"/>
      <c r="S38" s="159"/>
      <c r="T38" s="159"/>
      <c r="U38" s="159"/>
      <c r="V38" s="159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1"/>
      <c r="BC38" s="99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  <c r="IW38" s="122"/>
      <c r="IX38" s="122"/>
      <c r="IY38" s="122"/>
      <c r="IZ38" s="122"/>
      <c r="JA38" s="122"/>
      <c r="JB38" s="122"/>
      <c r="JC38" s="122"/>
      <c r="JD38" s="122"/>
      <c r="JE38" s="122"/>
      <c r="JF38" s="122"/>
      <c r="JG38" s="122"/>
      <c r="JH38" s="122"/>
      <c r="JI38" s="122"/>
      <c r="JJ38" s="122"/>
      <c r="JK38" s="122"/>
      <c r="JL38" s="122"/>
      <c r="JM38" s="122"/>
      <c r="JN38" s="122"/>
      <c r="JO38" s="122"/>
      <c r="JP38" s="122"/>
      <c r="JQ38" s="122"/>
      <c r="JR38" s="122"/>
      <c r="JS38" s="122"/>
      <c r="JT38" s="122"/>
      <c r="JU38" s="122"/>
      <c r="JV38" s="122"/>
      <c r="JW38" s="122"/>
      <c r="JX38" s="122"/>
      <c r="JY38" s="122"/>
      <c r="JZ38" s="122"/>
      <c r="KA38" s="122"/>
      <c r="KB38" s="122"/>
      <c r="KC38" s="122"/>
      <c r="KD38" s="122"/>
      <c r="KE38" s="122"/>
      <c r="KF38" s="122"/>
      <c r="KG38" s="122"/>
      <c r="KH38" s="122"/>
      <c r="KI38" s="122"/>
      <c r="KJ38" s="122"/>
      <c r="KK38" s="122"/>
      <c r="KL38" s="122"/>
      <c r="KM38" s="122"/>
      <c r="KN38" s="122"/>
      <c r="KO38" s="122"/>
      <c r="KP38" s="122"/>
      <c r="KQ38" s="122"/>
      <c r="KR38" s="122"/>
      <c r="KS38" s="122"/>
      <c r="KT38" s="122"/>
      <c r="KU38" s="122"/>
      <c r="KV38" s="122"/>
      <c r="KW38" s="122"/>
      <c r="KX38" s="122"/>
      <c r="KY38" s="122"/>
      <c r="KZ38" s="122"/>
      <c r="LA38" s="122"/>
      <c r="LB38" s="122"/>
      <c r="LC38" s="122"/>
      <c r="LD38" s="122"/>
      <c r="LE38" s="122"/>
      <c r="LF38" s="122"/>
      <c r="LG38" s="122"/>
      <c r="LH38" s="122"/>
      <c r="LI38" s="122"/>
    </row>
    <row r="39" spans="1:321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13"/>
      <c r="S39" s="113"/>
      <c r="T39" s="113"/>
      <c r="U39" s="113"/>
      <c r="V39" s="113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04"/>
      <c r="BC39" s="99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  <c r="IW39" s="122"/>
      <c r="IX39" s="122"/>
      <c r="IY39" s="122"/>
      <c r="IZ39" s="122"/>
      <c r="JA39" s="122"/>
      <c r="JB39" s="122"/>
      <c r="JC39" s="122"/>
      <c r="JD39" s="122"/>
      <c r="JE39" s="122"/>
      <c r="JF39" s="122"/>
      <c r="JG39" s="122"/>
      <c r="JH39" s="122"/>
      <c r="JI39" s="122"/>
      <c r="JJ39" s="122"/>
      <c r="JK39" s="122"/>
      <c r="JL39" s="122"/>
      <c r="JM39" s="122"/>
      <c r="JN39" s="122"/>
      <c r="JO39" s="122"/>
      <c r="JP39" s="122"/>
      <c r="JQ39" s="122"/>
      <c r="JR39" s="122"/>
      <c r="JS39" s="122"/>
      <c r="JT39" s="122"/>
      <c r="JU39" s="122"/>
      <c r="JV39" s="122"/>
      <c r="JW39" s="122"/>
      <c r="JX39" s="122"/>
      <c r="JY39" s="122"/>
      <c r="JZ39" s="122"/>
      <c r="KA39" s="122"/>
      <c r="KB39" s="122"/>
      <c r="KC39" s="122"/>
      <c r="KD39" s="122"/>
      <c r="KE39" s="122"/>
      <c r="KF39" s="122"/>
      <c r="KG39" s="122"/>
      <c r="KH39" s="122"/>
      <c r="KI39" s="122"/>
      <c r="KJ39" s="122"/>
      <c r="KK39" s="122"/>
      <c r="KL39" s="122"/>
      <c r="KM39" s="122"/>
      <c r="KN39" s="122"/>
      <c r="KO39" s="122"/>
      <c r="KP39" s="122"/>
      <c r="KQ39" s="122"/>
      <c r="KR39" s="122"/>
      <c r="KS39" s="122"/>
      <c r="KT39" s="122"/>
      <c r="KU39" s="122"/>
      <c r="KV39" s="122"/>
      <c r="KW39" s="122"/>
      <c r="KX39" s="122"/>
      <c r="KY39" s="122"/>
      <c r="KZ39" s="122"/>
      <c r="LA39" s="122"/>
      <c r="LB39" s="122"/>
      <c r="LC39" s="122"/>
      <c r="LD39" s="122"/>
      <c r="LE39" s="122"/>
      <c r="LF39" s="122"/>
      <c r="LG39" s="122"/>
      <c r="LH39" s="122"/>
      <c r="LI39" s="122"/>
    </row>
    <row r="40" spans="1:321" x14ac:dyDescent="0.25">
      <c r="A40" s="103" t="s">
        <v>186</v>
      </c>
      <c r="B40" s="112">
        <v>89.635664034149826</v>
      </c>
      <c r="C40" s="112">
        <v>89.630146023645793</v>
      </c>
      <c r="D40" s="112">
        <v>89.614971801002795</v>
      </c>
      <c r="E40" s="112">
        <v>89.616360165985597</v>
      </c>
      <c r="F40" s="112">
        <v>89.618827981123644</v>
      </c>
      <c r="G40" s="112">
        <v>89.625958886603911</v>
      </c>
      <c r="H40" s="112">
        <v>89.623959504330927</v>
      </c>
      <c r="I40" s="112">
        <v>89.619380966450521</v>
      </c>
      <c r="J40" s="112">
        <v>89.610262456251959</v>
      </c>
      <c r="K40" s="112">
        <v>89.227507537643532</v>
      </c>
      <c r="L40" s="112">
        <v>89.617546626236106</v>
      </c>
      <c r="M40" s="112">
        <v>89.570097710375663</v>
      </c>
      <c r="N40" s="112">
        <v>89.560943809395539</v>
      </c>
      <c r="O40" s="112">
        <v>89.594640845170019</v>
      </c>
      <c r="P40" s="112">
        <v>89.588877791310679</v>
      </c>
      <c r="Q40" s="112">
        <v>89.598952216657494</v>
      </c>
      <c r="R40" s="112">
        <v>89.58277998739409</v>
      </c>
      <c r="S40" s="112">
        <v>89.573568223818484</v>
      </c>
      <c r="T40" s="112">
        <v>89.576277017512695</v>
      </c>
      <c r="U40" s="123">
        <v>89.573855990703919</v>
      </c>
      <c r="V40" s="112">
        <v>89.556489014713875</v>
      </c>
      <c r="W40" s="118">
        <v>89.552684929828274</v>
      </c>
      <c r="X40" s="118">
        <v>89.573213526608669</v>
      </c>
      <c r="Y40" s="118">
        <v>89.5</v>
      </c>
      <c r="Z40" s="118">
        <v>89.5</v>
      </c>
      <c r="AA40" s="118">
        <v>89.5</v>
      </c>
      <c r="AB40" s="118">
        <v>89.5</v>
      </c>
      <c r="AC40" s="118">
        <v>89.5</v>
      </c>
      <c r="AD40" s="118">
        <v>89.5</v>
      </c>
      <c r="AE40" s="118">
        <v>89.5</v>
      </c>
      <c r="AF40" s="118">
        <v>96.7</v>
      </c>
      <c r="AG40" s="118">
        <v>89.4</v>
      </c>
      <c r="AH40" s="118">
        <v>89.3</v>
      </c>
      <c r="AI40" s="118">
        <v>89.3</v>
      </c>
      <c r="AJ40" s="118">
        <v>89.3</v>
      </c>
      <c r="AK40" s="118">
        <v>89.3</v>
      </c>
      <c r="AL40" s="118">
        <v>89.2</v>
      </c>
      <c r="AM40" s="118">
        <v>89.2</v>
      </c>
      <c r="AN40" s="118">
        <v>89.2</v>
      </c>
      <c r="AO40" s="118">
        <v>89.2</v>
      </c>
      <c r="AP40" s="118">
        <v>89.1</v>
      </c>
      <c r="AQ40" s="118">
        <v>89.1</v>
      </c>
      <c r="AR40" s="118">
        <v>89.1</v>
      </c>
      <c r="AS40" s="118">
        <v>89.1</v>
      </c>
      <c r="AT40" s="118">
        <v>89.1</v>
      </c>
      <c r="AU40" s="118">
        <v>89.1</v>
      </c>
      <c r="AV40" s="118">
        <v>89</v>
      </c>
      <c r="AW40" s="118">
        <v>89</v>
      </c>
      <c r="AX40" s="118">
        <v>89</v>
      </c>
      <c r="AY40" s="118">
        <v>89</v>
      </c>
      <c r="AZ40" s="118">
        <v>89</v>
      </c>
      <c r="BA40" s="118">
        <v>89.1</v>
      </c>
      <c r="BB40" s="100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  <c r="IW40" s="98"/>
      <c r="IX40" s="98"/>
      <c r="IY40" s="98"/>
      <c r="IZ40" s="98"/>
      <c r="JA40" s="98"/>
      <c r="JB40" s="98"/>
      <c r="JC40" s="98"/>
      <c r="JD40" s="98"/>
      <c r="JE40" s="98"/>
      <c r="JF40" s="98"/>
      <c r="JG40" s="98"/>
      <c r="JH40" s="98"/>
      <c r="JI40" s="98"/>
      <c r="JJ40" s="98"/>
      <c r="JK40" s="98"/>
      <c r="JL40" s="98"/>
      <c r="JM40" s="98"/>
      <c r="JN40" s="98"/>
      <c r="JO40" s="98"/>
      <c r="JP40" s="98"/>
      <c r="JQ40" s="98"/>
      <c r="JR40" s="98"/>
      <c r="JS40" s="98"/>
      <c r="JT40" s="98"/>
      <c r="JU40" s="98"/>
      <c r="JV40" s="98"/>
      <c r="JW40" s="98"/>
      <c r="JX40" s="98"/>
      <c r="JY40" s="98"/>
      <c r="JZ40" s="98"/>
      <c r="KA40" s="98"/>
      <c r="KB40" s="98"/>
      <c r="KC40" s="98"/>
      <c r="KD40" s="98"/>
      <c r="KE40" s="98"/>
      <c r="KF40" s="98"/>
      <c r="KG40" s="98"/>
      <c r="KH40" s="98"/>
      <c r="KI40" s="98"/>
      <c r="KJ40" s="98"/>
      <c r="KK40" s="98"/>
      <c r="KL40" s="98"/>
      <c r="KM40" s="98"/>
      <c r="KN40" s="98"/>
      <c r="KO40" s="98"/>
      <c r="KP40" s="98"/>
      <c r="KQ40" s="98"/>
      <c r="KR40" s="98"/>
      <c r="KS40" s="98"/>
      <c r="KT40" s="98"/>
      <c r="KU40" s="98"/>
      <c r="KV40" s="98"/>
      <c r="KW40" s="98"/>
      <c r="KX40" s="98"/>
      <c r="KY40" s="98"/>
      <c r="KZ40" s="98"/>
      <c r="LA40" s="98"/>
      <c r="LB40" s="98"/>
      <c r="LC40" s="98"/>
      <c r="LD40" s="98"/>
      <c r="LE40" s="98"/>
      <c r="LF40" s="98"/>
      <c r="LG40" s="98"/>
      <c r="LH40" s="98"/>
      <c r="LI40" s="98"/>
    </row>
    <row r="41" spans="1:321" x14ac:dyDescent="0.25">
      <c r="A41" s="106" t="s">
        <v>187</v>
      </c>
      <c r="B41" s="111">
        <v>8.9853652660080456</v>
      </c>
      <c r="C41" s="111">
        <v>8.9726957458877674</v>
      </c>
      <c r="D41" s="111">
        <v>8.788791591655567</v>
      </c>
      <c r="E41" s="111">
        <v>8.3832601840317427</v>
      </c>
      <c r="F41" s="111">
        <v>8.2981615650785532</v>
      </c>
      <c r="G41" s="111">
        <v>8.291534202045483</v>
      </c>
      <c r="H41" s="111">
        <v>8.2947058658374377</v>
      </c>
      <c r="I41" s="111">
        <v>8.2969524032601552</v>
      </c>
      <c r="J41" s="111">
        <v>8.3004412006697912</v>
      </c>
      <c r="K41" s="111">
        <v>9.0522439074274779</v>
      </c>
      <c r="L41" s="111">
        <v>8.2881703026575106</v>
      </c>
      <c r="M41" s="111">
        <v>8.3121515490358693</v>
      </c>
      <c r="N41" s="111">
        <v>8.3318389882497303</v>
      </c>
      <c r="O41" s="111">
        <v>8.2995243325806261</v>
      </c>
      <c r="P41" s="111">
        <v>8.2980051470304659</v>
      </c>
      <c r="Q41" s="111">
        <v>8.2609037581794702</v>
      </c>
      <c r="R41" s="111">
        <v>8.2695031132419885</v>
      </c>
      <c r="S41" s="111">
        <v>8.3008984302593483</v>
      </c>
      <c r="T41" s="111">
        <v>8.2990317644447913</v>
      </c>
      <c r="U41" s="124">
        <v>8.300097254999498</v>
      </c>
      <c r="V41" s="111">
        <v>8.311145367129253</v>
      </c>
      <c r="W41" s="119">
        <v>8.3150621461782404</v>
      </c>
      <c r="X41" s="119">
        <v>8.2729059639180775</v>
      </c>
      <c r="Y41" s="119">
        <v>8.3000000000000007</v>
      </c>
      <c r="Z41" s="119">
        <v>8.3000000000000007</v>
      </c>
      <c r="AA41" s="119">
        <v>8.3000000000000007</v>
      </c>
      <c r="AB41" s="119">
        <v>8.3000000000000007</v>
      </c>
      <c r="AC41" s="119">
        <v>8.3000000000000007</v>
      </c>
      <c r="AD41" s="119">
        <v>8.4</v>
      </c>
      <c r="AE41" s="119">
        <v>8.4</v>
      </c>
      <c r="AF41" s="119">
        <v>0.9</v>
      </c>
      <c r="AG41" s="119">
        <v>8.4</v>
      </c>
      <c r="AH41" s="119">
        <v>8.5</v>
      </c>
      <c r="AI41" s="119">
        <v>8.5</v>
      </c>
      <c r="AJ41" s="119">
        <v>8.5</v>
      </c>
      <c r="AK41" s="119">
        <v>8.5</v>
      </c>
      <c r="AL41" s="119">
        <v>8.6</v>
      </c>
      <c r="AM41" s="119">
        <v>8.6</v>
      </c>
      <c r="AN41" s="119">
        <v>8.6</v>
      </c>
      <c r="AO41" s="119">
        <v>8.6999999999999993</v>
      </c>
      <c r="AP41" s="119">
        <v>8.8000000000000007</v>
      </c>
      <c r="AQ41" s="119">
        <v>8.8000000000000007</v>
      </c>
      <c r="AR41" s="119">
        <v>8.8000000000000007</v>
      </c>
      <c r="AS41" s="119">
        <v>8.8000000000000007</v>
      </c>
      <c r="AT41" s="119">
        <v>8.8000000000000007</v>
      </c>
      <c r="AU41" s="119">
        <v>8.8000000000000007</v>
      </c>
      <c r="AV41" s="119">
        <v>8.8000000000000007</v>
      </c>
      <c r="AW41" s="119">
        <v>8.8000000000000007</v>
      </c>
      <c r="AX41" s="119">
        <v>8.8000000000000007</v>
      </c>
      <c r="AY41" s="119">
        <v>8.8000000000000007</v>
      </c>
      <c r="AZ41" s="119">
        <v>8.6999999999999993</v>
      </c>
      <c r="BA41" s="119">
        <v>8.6</v>
      </c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  <c r="IW41" s="98"/>
      <c r="IX41" s="98"/>
      <c r="IY41" s="98"/>
      <c r="IZ41" s="98"/>
      <c r="JA41" s="98"/>
      <c r="JB41" s="98"/>
      <c r="JC41" s="98"/>
      <c r="JD41" s="98"/>
      <c r="JE41" s="98"/>
      <c r="JF41" s="98"/>
      <c r="JG41" s="98"/>
      <c r="JH41" s="98"/>
      <c r="JI41" s="98"/>
      <c r="JJ41" s="98"/>
      <c r="JK41" s="98"/>
      <c r="JL41" s="98"/>
      <c r="JM41" s="98"/>
      <c r="JN41" s="98"/>
      <c r="JO41" s="98"/>
      <c r="JP41" s="98"/>
      <c r="JQ41" s="98"/>
      <c r="JR41" s="98"/>
      <c r="JS41" s="98"/>
      <c r="JT41" s="98"/>
      <c r="JU41" s="98"/>
      <c r="JV41" s="98"/>
      <c r="JW41" s="98"/>
      <c r="JX41" s="98"/>
      <c r="JY41" s="98"/>
      <c r="JZ41" s="98"/>
      <c r="KA41" s="98"/>
      <c r="KB41" s="98"/>
      <c r="KC41" s="98"/>
      <c r="KD41" s="98"/>
      <c r="KE41" s="98"/>
      <c r="KF41" s="98"/>
      <c r="KG41" s="98"/>
      <c r="KH41" s="98"/>
      <c r="KI41" s="98"/>
      <c r="KJ41" s="98"/>
      <c r="KK41" s="98"/>
      <c r="KL41" s="98"/>
      <c r="KM41" s="98"/>
      <c r="KN41" s="98"/>
      <c r="KO41" s="98"/>
      <c r="KP41" s="98"/>
      <c r="KQ41" s="98"/>
      <c r="KR41" s="98"/>
      <c r="KS41" s="98"/>
      <c r="KT41" s="98"/>
      <c r="KU41" s="98"/>
      <c r="KV41" s="98"/>
      <c r="KW41" s="98"/>
      <c r="KX41" s="98"/>
      <c r="KY41" s="98"/>
      <c r="KZ41" s="98"/>
      <c r="LA41" s="98"/>
      <c r="LB41" s="98"/>
      <c r="LC41" s="98"/>
      <c r="LD41" s="98"/>
      <c r="LE41" s="98"/>
      <c r="LF41" s="98"/>
      <c r="LG41" s="98"/>
      <c r="LH41" s="98"/>
      <c r="LI41" s="98"/>
    </row>
    <row r="42" spans="1:321" x14ac:dyDescent="0.25">
      <c r="A42" s="103" t="s">
        <v>188</v>
      </c>
      <c r="B42" s="112">
        <v>0.66279298816317056</v>
      </c>
      <c r="C42" s="112">
        <v>0.66556986695829568</v>
      </c>
      <c r="D42" s="112">
        <v>0.66809063908789734</v>
      </c>
      <c r="E42" s="112">
        <v>0.66996912698987909</v>
      </c>
      <c r="F42" s="112">
        <v>0.67414198586674734</v>
      </c>
      <c r="G42" s="112">
        <v>0.67536382300407571</v>
      </c>
      <c r="H42" s="112">
        <v>0.67670149156562953</v>
      </c>
      <c r="I42" s="112">
        <v>0.68008239499940648</v>
      </c>
      <c r="J42" s="112">
        <v>0.68333389441286352</v>
      </c>
      <c r="K42" s="112">
        <v>0.61988886340826888</v>
      </c>
      <c r="L42" s="112">
        <v>0.68359312585796606</v>
      </c>
      <c r="M42" s="112">
        <v>0.67678936685599245</v>
      </c>
      <c r="N42" s="112">
        <v>0.68746540843748183</v>
      </c>
      <c r="O42" s="112">
        <v>0.68388623581601249</v>
      </c>
      <c r="P42" s="112">
        <v>0.67547297045313304</v>
      </c>
      <c r="Q42" s="112">
        <v>0.668209637001557</v>
      </c>
      <c r="R42" s="112">
        <v>0.67138051476336402</v>
      </c>
      <c r="S42" s="112">
        <v>0.67825418406874205</v>
      </c>
      <c r="T42" s="112">
        <v>0.67680547197001195</v>
      </c>
      <c r="U42" s="123">
        <v>0.67752049301775163</v>
      </c>
      <c r="V42" s="112">
        <v>0.68075384736603561</v>
      </c>
      <c r="W42" s="118">
        <v>0.67970577924125619</v>
      </c>
      <c r="X42" s="118">
        <v>0.67231774354606488</v>
      </c>
      <c r="Y42" s="118">
        <v>0.7</v>
      </c>
      <c r="Z42" s="118">
        <v>0.7</v>
      </c>
      <c r="AA42" s="118">
        <v>0.7</v>
      </c>
      <c r="AB42" s="118">
        <v>0.7</v>
      </c>
      <c r="AC42" s="118">
        <v>0.7</v>
      </c>
      <c r="AD42" s="118">
        <v>0.7</v>
      </c>
      <c r="AE42" s="118">
        <v>0.7</v>
      </c>
      <c r="AF42" s="118">
        <v>0.8</v>
      </c>
      <c r="AG42" s="118">
        <v>0.7</v>
      </c>
      <c r="AH42" s="118">
        <v>0.7</v>
      </c>
      <c r="AI42" s="118">
        <v>0.7</v>
      </c>
      <c r="AJ42" s="118">
        <v>0.7</v>
      </c>
      <c r="AK42" s="118">
        <v>0.7</v>
      </c>
      <c r="AL42" s="118">
        <v>0.7</v>
      </c>
      <c r="AM42" s="118">
        <v>0.7</v>
      </c>
      <c r="AN42" s="118">
        <v>0.7</v>
      </c>
      <c r="AO42" s="118">
        <v>0.7</v>
      </c>
      <c r="AP42" s="118">
        <v>0.6</v>
      </c>
      <c r="AQ42" s="118">
        <v>0.6</v>
      </c>
      <c r="AR42" s="118">
        <v>0.6</v>
      </c>
      <c r="AS42" s="118">
        <v>0.6</v>
      </c>
      <c r="AT42" s="118">
        <v>0.6</v>
      </c>
      <c r="AU42" s="118">
        <v>0.6</v>
      </c>
      <c r="AV42" s="118">
        <v>0.6</v>
      </c>
      <c r="AW42" s="118">
        <v>0.6</v>
      </c>
      <c r="AX42" s="118">
        <v>0.6</v>
      </c>
      <c r="AY42" s="118">
        <v>0.6</v>
      </c>
      <c r="AZ42" s="118">
        <v>0.8</v>
      </c>
      <c r="BA42" s="118">
        <v>0.8</v>
      </c>
      <c r="BB42" s="100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  <c r="IW42" s="98"/>
      <c r="IX42" s="98"/>
      <c r="IY42" s="98"/>
      <c r="IZ42" s="98"/>
      <c r="JA42" s="98"/>
      <c r="JB42" s="98"/>
      <c r="JC42" s="98"/>
      <c r="JD42" s="98"/>
      <c r="JE42" s="98"/>
      <c r="JF42" s="98"/>
      <c r="JG42" s="98"/>
      <c r="JH42" s="98"/>
      <c r="JI42" s="98"/>
      <c r="JJ42" s="98"/>
      <c r="JK42" s="98"/>
      <c r="JL42" s="98"/>
      <c r="JM42" s="98"/>
      <c r="JN42" s="98"/>
      <c r="JO42" s="98"/>
      <c r="JP42" s="98"/>
      <c r="JQ42" s="98"/>
      <c r="JR42" s="98"/>
      <c r="JS42" s="98"/>
      <c r="JT42" s="98"/>
      <c r="JU42" s="98"/>
      <c r="JV42" s="98"/>
      <c r="JW42" s="98"/>
      <c r="JX42" s="98"/>
      <c r="JY42" s="98"/>
      <c r="JZ42" s="98"/>
      <c r="KA42" s="98"/>
      <c r="KB42" s="98"/>
      <c r="KC42" s="98"/>
      <c r="KD42" s="98"/>
      <c r="KE42" s="98"/>
      <c r="KF42" s="98"/>
      <c r="KG42" s="98"/>
      <c r="KH42" s="98"/>
      <c r="KI42" s="98"/>
      <c r="KJ42" s="98"/>
      <c r="KK42" s="98"/>
      <c r="KL42" s="98"/>
      <c r="KM42" s="98"/>
      <c r="KN42" s="98"/>
      <c r="KO42" s="98"/>
      <c r="KP42" s="98"/>
      <c r="KQ42" s="98"/>
      <c r="KR42" s="98"/>
      <c r="KS42" s="98"/>
      <c r="KT42" s="98"/>
      <c r="KU42" s="98"/>
      <c r="KV42" s="98"/>
      <c r="KW42" s="98"/>
      <c r="KX42" s="98"/>
      <c r="KY42" s="98"/>
      <c r="KZ42" s="98"/>
      <c r="LA42" s="98"/>
      <c r="LB42" s="98"/>
      <c r="LC42" s="98"/>
      <c r="LD42" s="98"/>
      <c r="LE42" s="98"/>
      <c r="LF42" s="98"/>
      <c r="LG42" s="98"/>
      <c r="LH42" s="98"/>
      <c r="LI42" s="98"/>
    </row>
    <row r="43" spans="1:321" x14ac:dyDescent="0.25">
      <c r="A43" s="106" t="s">
        <v>192</v>
      </c>
      <c r="B43" s="111">
        <v>0.71617771167896038</v>
      </c>
      <c r="C43" s="111">
        <v>0.73158836350813483</v>
      </c>
      <c r="D43" s="111">
        <v>0.9281459682537293</v>
      </c>
      <c r="E43" s="111">
        <v>1.3304105229927798</v>
      </c>
      <c r="F43" s="111">
        <v>1.4088684679310661</v>
      </c>
      <c r="G43" s="111">
        <v>1.4071430883465215</v>
      </c>
      <c r="H43" s="111">
        <v>1.4046331382660018</v>
      </c>
      <c r="I43" s="111">
        <v>1.4035842352899126</v>
      </c>
      <c r="J43" s="111">
        <v>1.4059624486653801</v>
      </c>
      <c r="K43" s="111">
        <v>1.1003596915207285</v>
      </c>
      <c r="L43" s="111">
        <v>1.4106899452483901</v>
      </c>
      <c r="M43" s="111">
        <v>1.440961373732468</v>
      </c>
      <c r="N43" s="111">
        <v>1.4197517939172601</v>
      </c>
      <c r="O43" s="111">
        <v>1.4219485864333428</v>
      </c>
      <c r="P43" s="111">
        <v>1.437644091205716</v>
      </c>
      <c r="Q43" s="111">
        <v>1.4719343881614599</v>
      </c>
      <c r="R43" s="111">
        <v>1.4763363846005759</v>
      </c>
      <c r="S43" s="111">
        <v>1.4472791618534293</v>
      </c>
      <c r="T43" s="111">
        <v>1.4478857460724499</v>
      </c>
      <c r="U43" s="124">
        <v>1.4485262612788108</v>
      </c>
      <c r="V43" s="111">
        <v>1.4516117707908334</v>
      </c>
      <c r="W43" s="119">
        <v>1.4525471447522365</v>
      </c>
      <c r="X43" s="119">
        <v>1.4815627659271888</v>
      </c>
      <c r="Y43" s="119">
        <v>1.5</v>
      </c>
      <c r="Z43" s="119">
        <v>1.5</v>
      </c>
      <c r="AA43" s="119">
        <v>1.5</v>
      </c>
      <c r="AB43" s="119">
        <v>1.5</v>
      </c>
      <c r="AC43" s="119">
        <v>1.5</v>
      </c>
      <c r="AD43" s="119">
        <v>1.5</v>
      </c>
      <c r="AE43" s="119">
        <v>1.5</v>
      </c>
      <c r="AF43" s="119">
        <v>1.6</v>
      </c>
      <c r="AG43" s="119">
        <v>1.5</v>
      </c>
      <c r="AH43" s="119">
        <v>1.5</v>
      </c>
      <c r="AI43" s="119">
        <v>1.5</v>
      </c>
      <c r="AJ43" s="119">
        <v>1.5</v>
      </c>
      <c r="AK43" s="119">
        <v>1.5</v>
      </c>
      <c r="AL43" s="119">
        <v>1.5</v>
      </c>
      <c r="AM43" s="119">
        <v>1.5</v>
      </c>
      <c r="AN43" s="119">
        <v>1.5</v>
      </c>
      <c r="AO43" s="119">
        <v>1.5</v>
      </c>
      <c r="AP43" s="119">
        <v>1.5</v>
      </c>
      <c r="AQ43" s="119">
        <v>1.5</v>
      </c>
      <c r="AR43" s="119">
        <v>1.5</v>
      </c>
      <c r="AS43" s="119">
        <v>1.5</v>
      </c>
      <c r="AT43" s="119">
        <v>1.5</v>
      </c>
      <c r="AU43" s="119">
        <v>1.5</v>
      </c>
      <c r="AV43" s="119">
        <v>1.5</v>
      </c>
      <c r="AW43" s="119">
        <v>1.5</v>
      </c>
      <c r="AX43" s="119">
        <v>1.5</v>
      </c>
      <c r="AY43" s="119">
        <v>1.5</v>
      </c>
      <c r="AZ43" s="119">
        <v>1.5</v>
      </c>
      <c r="BA43" s="119">
        <v>1.5</v>
      </c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98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98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98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98"/>
      <c r="KQ43" s="98"/>
      <c r="KR43" s="98"/>
      <c r="KS43" s="98"/>
      <c r="KT43" s="98"/>
      <c r="KU43" s="98"/>
      <c r="KV43" s="98"/>
      <c r="KW43" s="98"/>
      <c r="KX43" s="98"/>
      <c r="KY43" s="98"/>
      <c r="KZ43" s="98"/>
      <c r="LA43" s="98"/>
      <c r="LB43" s="98"/>
      <c r="LC43" s="98"/>
      <c r="LD43" s="98"/>
      <c r="LE43" s="98"/>
      <c r="LF43" s="98"/>
      <c r="LG43" s="98"/>
      <c r="LH43" s="98"/>
      <c r="LI43" s="98"/>
    </row>
    <row r="44" spans="1:321" x14ac:dyDescent="0.25">
      <c r="A44" s="128" t="s">
        <v>21</v>
      </c>
      <c r="B44" s="126">
        <f>SUM(B40:B43)</f>
        <v>100.00000000000001</v>
      </c>
      <c r="C44" s="126">
        <v>99.999999999999986</v>
      </c>
      <c r="D44" s="126">
        <v>99.999999999999986</v>
      </c>
      <c r="E44" s="126">
        <v>100</v>
      </c>
      <c r="F44" s="126">
        <v>100.00000000000003</v>
      </c>
      <c r="G44" s="126">
        <v>99.999999999999986</v>
      </c>
      <c r="H44" s="126">
        <v>100</v>
      </c>
      <c r="I44" s="126">
        <v>99.999999999999986</v>
      </c>
      <c r="J44" s="126">
        <v>100</v>
      </c>
      <c r="K44" s="126">
        <v>100</v>
      </c>
      <c r="L44" s="126">
        <v>99.999999999999972</v>
      </c>
      <c r="M44" s="126">
        <v>100</v>
      </c>
      <c r="N44" s="126">
        <v>100</v>
      </c>
      <c r="O44" s="126">
        <v>100.00000000000001</v>
      </c>
      <c r="P44" s="126">
        <v>99.999999999999986</v>
      </c>
      <c r="Q44" s="126">
        <v>99.999999999999972</v>
      </c>
      <c r="R44" s="126">
        <v>100.00000000000001</v>
      </c>
      <c r="S44" s="126">
        <v>100.00000000000001</v>
      </c>
      <c r="T44" s="126">
        <v>100</v>
      </c>
      <c r="U44" s="126">
        <v>99.999999999999986</v>
      </c>
      <c r="V44" s="126">
        <v>100</v>
      </c>
      <c r="W44" s="121">
        <v>100</v>
      </c>
      <c r="X44" s="121">
        <v>100</v>
      </c>
      <c r="Y44" s="121">
        <v>100</v>
      </c>
      <c r="Z44" s="121">
        <v>100</v>
      </c>
      <c r="AA44" s="121">
        <v>100</v>
      </c>
      <c r="AB44" s="121">
        <v>100</v>
      </c>
      <c r="AC44" s="121">
        <v>-100</v>
      </c>
      <c r="AD44" s="121">
        <v>100</v>
      </c>
      <c r="AE44" s="121">
        <v>100</v>
      </c>
      <c r="AF44" s="121">
        <v>100</v>
      </c>
      <c r="AG44" s="121">
        <v>100</v>
      </c>
      <c r="AH44" s="121">
        <v>100</v>
      </c>
      <c r="AI44" s="121">
        <v>100</v>
      </c>
      <c r="AJ44" s="121">
        <v>100</v>
      </c>
      <c r="AK44" s="121">
        <v>100</v>
      </c>
      <c r="AL44" s="121">
        <v>100</v>
      </c>
      <c r="AM44" s="121">
        <v>100</v>
      </c>
      <c r="AN44" s="121">
        <v>100</v>
      </c>
      <c r="AO44" s="121">
        <v>100</v>
      </c>
      <c r="AP44" s="121">
        <v>100</v>
      </c>
      <c r="AQ44" s="121">
        <v>100</v>
      </c>
      <c r="AR44" s="121">
        <v>100</v>
      </c>
      <c r="AS44" s="121">
        <v>100</v>
      </c>
      <c r="AT44" s="121">
        <v>100</v>
      </c>
      <c r="AU44" s="121">
        <v>100</v>
      </c>
      <c r="AV44" s="121">
        <v>100</v>
      </c>
      <c r="AW44" s="121">
        <v>100</v>
      </c>
      <c r="AX44" s="121">
        <v>100</v>
      </c>
      <c r="AY44" s="121">
        <v>100</v>
      </c>
      <c r="AZ44" s="121">
        <v>100</v>
      </c>
      <c r="BA44" s="121">
        <v>100</v>
      </c>
      <c r="BB44" s="101"/>
      <c r="BC44" s="102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  <c r="IW44" s="129"/>
      <c r="IX44" s="129"/>
      <c r="IY44" s="129"/>
      <c r="IZ44" s="129"/>
      <c r="JA44" s="129"/>
      <c r="JB44" s="129"/>
      <c r="JC44" s="129"/>
      <c r="JD44" s="129"/>
      <c r="JE44" s="129"/>
      <c r="JF44" s="129"/>
      <c r="JG44" s="129"/>
      <c r="JH44" s="129"/>
      <c r="JI44" s="129"/>
      <c r="JJ44" s="129"/>
      <c r="JK44" s="129"/>
      <c r="JL44" s="129"/>
      <c r="JM44" s="129"/>
      <c r="JN44" s="129"/>
      <c r="JO44" s="129"/>
      <c r="JP44" s="129"/>
      <c r="JQ44" s="129"/>
      <c r="JR44" s="129"/>
      <c r="JS44" s="129"/>
      <c r="JT44" s="129"/>
      <c r="JU44" s="129"/>
      <c r="JV44" s="129"/>
      <c r="JW44" s="129"/>
      <c r="JX44" s="129"/>
      <c r="JY44" s="129"/>
      <c r="JZ44" s="129"/>
      <c r="KA44" s="129"/>
      <c r="KB44" s="129"/>
      <c r="KC44" s="129"/>
      <c r="KD44" s="129"/>
      <c r="KE44" s="129"/>
      <c r="KF44" s="129"/>
      <c r="KG44" s="129"/>
      <c r="KH44" s="129"/>
      <c r="KI44" s="129"/>
      <c r="KJ44" s="129"/>
      <c r="KK44" s="129"/>
      <c r="KL44" s="129"/>
      <c r="KM44" s="129"/>
      <c r="KN44" s="129"/>
      <c r="KO44" s="129"/>
      <c r="KP44" s="129"/>
      <c r="KQ44" s="129"/>
      <c r="KR44" s="129"/>
      <c r="KS44" s="129"/>
      <c r="KT44" s="129"/>
      <c r="KU44" s="129"/>
      <c r="KV44" s="129"/>
      <c r="KW44" s="129"/>
      <c r="KX44" s="129"/>
      <c r="KY44" s="129"/>
      <c r="KZ44" s="129"/>
      <c r="LA44" s="129"/>
      <c r="LB44" s="129"/>
      <c r="LC44" s="129"/>
      <c r="LD44" s="129"/>
      <c r="LE44" s="129"/>
      <c r="LF44" s="129"/>
      <c r="LG44" s="129"/>
      <c r="LH44" s="129"/>
      <c r="LI44" s="129"/>
    </row>
    <row r="45" spans="1:321" x14ac:dyDescent="0.25">
      <c r="A45" s="130"/>
      <c r="B45" s="130"/>
      <c r="C45" s="130"/>
      <c r="D45" s="130"/>
      <c r="E45" s="130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33"/>
      <c r="V45" s="125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31"/>
      <c r="BC45" s="102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  <c r="IW45" s="129"/>
      <c r="IX45" s="129"/>
      <c r="IY45" s="129"/>
      <c r="IZ45" s="129"/>
      <c r="JA45" s="129"/>
      <c r="JB45" s="129"/>
      <c r="JC45" s="129"/>
      <c r="JD45" s="129"/>
      <c r="JE45" s="129"/>
      <c r="JF45" s="129"/>
      <c r="JG45" s="129"/>
      <c r="JH45" s="129"/>
      <c r="JI45" s="129"/>
      <c r="JJ45" s="129"/>
      <c r="JK45" s="129"/>
      <c r="JL45" s="129"/>
      <c r="JM45" s="129"/>
      <c r="JN45" s="129"/>
      <c r="JO45" s="129"/>
      <c r="JP45" s="129"/>
      <c r="JQ45" s="129"/>
      <c r="JR45" s="129"/>
      <c r="JS45" s="129"/>
      <c r="JT45" s="129"/>
      <c r="JU45" s="129"/>
      <c r="JV45" s="129"/>
      <c r="JW45" s="129"/>
      <c r="JX45" s="129"/>
      <c r="JY45" s="129"/>
      <c r="JZ45" s="129"/>
      <c r="KA45" s="129"/>
      <c r="KB45" s="129"/>
      <c r="KC45" s="129"/>
      <c r="KD45" s="129"/>
      <c r="KE45" s="129"/>
      <c r="KF45" s="129"/>
      <c r="KG45" s="129"/>
      <c r="KH45" s="129"/>
      <c r="KI45" s="129"/>
      <c r="KJ45" s="129"/>
      <c r="KK45" s="129"/>
      <c r="KL45" s="129"/>
      <c r="KM45" s="129"/>
      <c r="KN45" s="129"/>
      <c r="KO45" s="129"/>
      <c r="KP45" s="129"/>
      <c r="KQ45" s="129"/>
      <c r="KR45" s="129"/>
      <c r="KS45" s="129"/>
      <c r="KT45" s="129"/>
      <c r="KU45" s="129"/>
      <c r="KV45" s="129"/>
      <c r="KW45" s="129"/>
      <c r="KX45" s="129"/>
      <c r="KY45" s="129"/>
      <c r="KZ45" s="129"/>
      <c r="LA45" s="129"/>
      <c r="LB45" s="129"/>
      <c r="LC45" s="129"/>
      <c r="LD45" s="129"/>
      <c r="LE45" s="129"/>
      <c r="LF45" s="129"/>
      <c r="LG45" s="129"/>
      <c r="LH45" s="129"/>
      <c r="LI45" s="129"/>
    </row>
    <row r="46" spans="1:321" x14ac:dyDescent="0.25">
      <c r="A46" s="130"/>
      <c r="B46" s="130"/>
      <c r="C46" s="130"/>
      <c r="D46" s="130"/>
      <c r="E46" s="130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33"/>
      <c r="V46" s="125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31"/>
      <c r="BC46" s="102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  <c r="IW46" s="129"/>
      <c r="IX46" s="129"/>
      <c r="IY46" s="129"/>
      <c r="IZ46" s="129"/>
      <c r="JA46" s="129"/>
      <c r="JB46" s="129"/>
      <c r="JC46" s="129"/>
      <c r="JD46" s="129"/>
      <c r="JE46" s="129"/>
      <c r="JF46" s="129"/>
      <c r="JG46" s="129"/>
      <c r="JH46" s="129"/>
      <c r="JI46" s="129"/>
      <c r="JJ46" s="129"/>
      <c r="JK46" s="129"/>
      <c r="JL46" s="129"/>
      <c r="JM46" s="129"/>
      <c r="JN46" s="129"/>
      <c r="JO46" s="129"/>
      <c r="JP46" s="129"/>
      <c r="JQ46" s="129"/>
      <c r="JR46" s="129"/>
      <c r="JS46" s="129"/>
      <c r="JT46" s="129"/>
      <c r="JU46" s="129"/>
      <c r="JV46" s="129"/>
      <c r="JW46" s="129"/>
      <c r="JX46" s="129"/>
      <c r="JY46" s="129"/>
      <c r="JZ46" s="129"/>
      <c r="KA46" s="129"/>
      <c r="KB46" s="129"/>
      <c r="KC46" s="129"/>
      <c r="KD46" s="129"/>
      <c r="KE46" s="129"/>
      <c r="KF46" s="129"/>
      <c r="KG46" s="129"/>
      <c r="KH46" s="129"/>
      <c r="KI46" s="129"/>
      <c r="KJ46" s="129"/>
      <c r="KK46" s="129"/>
      <c r="KL46" s="129"/>
      <c r="KM46" s="129"/>
      <c r="KN46" s="129"/>
      <c r="KO46" s="129"/>
      <c r="KP46" s="129"/>
      <c r="KQ46" s="129"/>
      <c r="KR46" s="129"/>
      <c r="KS46" s="129"/>
      <c r="KT46" s="129"/>
      <c r="KU46" s="129"/>
      <c r="KV46" s="129"/>
      <c r="KW46" s="129"/>
      <c r="KX46" s="129"/>
      <c r="KY46" s="129"/>
      <c r="KZ46" s="129"/>
      <c r="LA46" s="129"/>
      <c r="LB46" s="129"/>
      <c r="LC46" s="129"/>
      <c r="LD46" s="129"/>
      <c r="LE46" s="129"/>
      <c r="LF46" s="129"/>
      <c r="LG46" s="129"/>
      <c r="LH46" s="129"/>
      <c r="LI46" s="129"/>
    </row>
    <row r="47" spans="1:321" ht="15.75" x14ac:dyDescent="0.25">
      <c r="A47" s="158" t="s">
        <v>195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9"/>
      <c r="S47" s="159"/>
      <c r="T47" s="159"/>
      <c r="U47" s="159"/>
      <c r="V47" s="159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1"/>
      <c r="BC47" s="99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  <c r="IR47" s="122"/>
      <c r="IS47" s="122"/>
      <c r="IT47" s="122"/>
      <c r="IU47" s="122"/>
      <c r="IV47" s="122"/>
      <c r="IW47" s="122"/>
      <c r="IX47" s="122"/>
      <c r="IY47" s="122"/>
      <c r="IZ47" s="122"/>
      <c r="JA47" s="122"/>
      <c r="JB47" s="122"/>
      <c r="JC47" s="122"/>
      <c r="JD47" s="122"/>
      <c r="JE47" s="122"/>
      <c r="JF47" s="122"/>
      <c r="JG47" s="122"/>
      <c r="JH47" s="122"/>
      <c r="JI47" s="122"/>
      <c r="JJ47" s="122"/>
      <c r="JK47" s="122"/>
      <c r="JL47" s="122"/>
      <c r="JM47" s="122"/>
      <c r="JN47" s="122"/>
      <c r="JO47" s="122"/>
      <c r="JP47" s="122"/>
      <c r="JQ47" s="122"/>
      <c r="JR47" s="122"/>
      <c r="JS47" s="122"/>
      <c r="JT47" s="122"/>
      <c r="JU47" s="122"/>
      <c r="JV47" s="122"/>
      <c r="JW47" s="122"/>
      <c r="JX47" s="122"/>
      <c r="JY47" s="122"/>
      <c r="JZ47" s="122"/>
      <c r="KA47" s="122"/>
      <c r="KB47" s="122"/>
      <c r="KC47" s="122"/>
      <c r="KD47" s="122"/>
      <c r="KE47" s="122"/>
      <c r="KF47" s="122"/>
      <c r="KG47" s="122"/>
      <c r="KH47" s="122"/>
      <c r="KI47" s="122"/>
      <c r="KJ47" s="122"/>
      <c r="KK47" s="122"/>
      <c r="KL47" s="122"/>
      <c r="KM47" s="122"/>
      <c r="KN47" s="122"/>
      <c r="KO47" s="122"/>
      <c r="KP47" s="122"/>
      <c r="KQ47" s="122"/>
      <c r="KR47" s="122"/>
      <c r="KS47" s="122"/>
      <c r="KT47" s="122"/>
      <c r="KU47" s="122"/>
      <c r="KV47" s="122"/>
      <c r="KW47" s="122"/>
      <c r="KX47" s="122"/>
      <c r="KY47" s="122"/>
      <c r="KZ47" s="122"/>
      <c r="LA47" s="122"/>
      <c r="LB47" s="122"/>
      <c r="LC47" s="122"/>
      <c r="LD47" s="122"/>
      <c r="LE47" s="122"/>
      <c r="LF47" s="122"/>
      <c r="LG47" s="122"/>
      <c r="LH47" s="122"/>
      <c r="LI47" s="122"/>
    </row>
    <row r="48" spans="1:32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13"/>
      <c r="S48" s="113"/>
      <c r="T48" s="113"/>
      <c r="U48" s="113"/>
      <c r="V48" s="113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04"/>
      <c r="BC48" s="99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  <c r="IV48" s="122"/>
      <c r="IW48" s="122"/>
      <c r="IX48" s="122"/>
      <c r="IY48" s="122"/>
      <c r="IZ48" s="122"/>
      <c r="JA48" s="122"/>
      <c r="JB48" s="122"/>
      <c r="JC48" s="122"/>
      <c r="JD48" s="122"/>
      <c r="JE48" s="122"/>
      <c r="JF48" s="122"/>
      <c r="JG48" s="122"/>
      <c r="JH48" s="122"/>
      <c r="JI48" s="122"/>
      <c r="JJ48" s="122"/>
      <c r="JK48" s="122"/>
      <c r="JL48" s="122"/>
      <c r="JM48" s="122"/>
      <c r="JN48" s="122"/>
      <c r="JO48" s="122"/>
      <c r="JP48" s="122"/>
      <c r="JQ48" s="122"/>
      <c r="JR48" s="122"/>
      <c r="JS48" s="122"/>
      <c r="JT48" s="122"/>
      <c r="JU48" s="122"/>
      <c r="JV48" s="122"/>
      <c r="JW48" s="122"/>
      <c r="JX48" s="122"/>
      <c r="JY48" s="122"/>
      <c r="JZ48" s="122"/>
      <c r="KA48" s="122"/>
      <c r="KB48" s="122"/>
      <c r="KC48" s="122"/>
      <c r="KD48" s="122"/>
      <c r="KE48" s="122"/>
      <c r="KF48" s="122"/>
      <c r="KG48" s="122"/>
      <c r="KH48" s="122"/>
      <c r="KI48" s="122"/>
      <c r="KJ48" s="122"/>
      <c r="KK48" s="122"/>
      <c r="KL48" s="122"/>
      <c r="KM48" s="122"/>
      <c r="KN48" s="122"/>
      <c r="KO48" s="122"/>
      <c r="KP48" s="122"/>
      <c r="KQ48" s="122"/>
      <c r="KR48" s="122"/>
      <c r="KS48" s="122"/>
      <c r="KT48" s="122"/>
      <c r="KU48" s="122"/>
      <c r="KV48" s="122"/>
      <c r="KW48" s="122"/>
      <c r="KX48" s="122"/>
      <c r="KY48" s="122"/>
      <c r="KZ48" s="122"/>
      <c r="LA48" s="122"/>
      <c r="LB48" s="122"/>
      <c r="LC48" s="122"/>
      <c r="LD48" s="122"/>
      <c r="LE48" s="122"/>
      <c r="LF48" s="122"/>
      <c r="LG48" s="122"/>
      <c r="LH48" s="122"/>
      <c r="LI48" s="122"/>
    </row>
    <row r="49" spans="1:321" x14ac:dyDescent="0.25">
      <c r="A49" s="103" t="s">
        <v>186</v>
      </c>
      <c r="B49" s="112">
        <v>89.275443841103751</v>
      </c>
      <c r="C49" s="112">
        <v>89.257434258349846</v>
      </c>
      <c r="D49" s="112">
        <v>89.23880799441946</v>
      </c>
      <c r="E49" s="112">
        <v>89.238201098169981</v>
      </c>
      <c r="F49" s="112">
        <v>89.234372705597949</v>
      </c>
      <c r="G49" s="112">
        <v>89.233819729371362</v>
      </c>
      <c r="H49" s="112">
        <v>89.233819729371376</v>
      </c>
      <c r="I49" s="112">
        <v>89.224645371832594</v>
      </c>
      <c r="J49" s="112">
        <v>89.214360792982532</v>
      </c>
      <c r="K49" s="112">
        <v>89.227507537643532</v>
      </c>
      <c r="L49" s="112">
        <v>89.258281694405596</v>
      </c>
      <c r="M49" s="112">
        <v>89.225853929075001</v>
      </c>
      <c r="N49" s="112">
        <v>89.236403540629723</v>
      </c>
      <c r="O49" s="112">
        <v>89.266865288755312</v>
      </c>
      <c r="P49" s="112">
        <v>89.244588994103594</v>
      </c>
      <c r="Q49" s="112">
        <v>89.238443494495399</v>
      </c>
      <c r="R49" s="112">
        <v>89.220477467960052</v>
      </c>
      <c r="S49" s="112">
        <v>89.227313857737585</v>
      </c>
      <c r="T49" s="112">
        <v>89.213351915118196</v>
      </c>
      <c r="U49" s="123">
        <v>89.201782842736833</v>
      </c>
      <c r="V49" s="112">
        <v>89.185197486441851</v>
      </c>
      <c r="W49" s="118">
        <v>89.162380570934019</v>
      </c>
      <c r="X49" s="118">
        <v>89.161162819299122</v>
      </c>
      <c r="Y49" s="118">
        <v>89.1</v>
      </c>
      <c r="Z49" s="118">
        <v>89.1</v>
      </c>
      <c r="AA49" s="118">
        <v>89.1</v>
      </c>
      <c r="AB49" s="118">
        <v>89.1</v>
      </c>
      <c r="AC49" s="118">
        <v>88.5</v>
      </c>
      <c r="AD49" s="118">
        <v>89</v>
      </c>
      <c r="AE49" s="118">
        <v>89</v>
      </c>
      <c r="AF49" s="118">
        <v>89</v>
      </c>
      <c r="AG49" s="118">
        <v>88.9</v>
      </c>
      <c r="AH49" s="118">
        <v>88.9</v>
      </c>
      <c r="AI49" s="118">
        <v>88.8</v>
      </c>
      <c r="AJ49" s="118">
        <v>88.8</v>
      </c>
      <c r="AK49" s="118">
        <v>88.7</v>
      </c>
      <c r="AL49" s="118">
        <v>88.7</v>
      </c>
      <c r="AM49" s="118">
        <v>88.7</v>
      </c>
      <c r="AN49" s="118">
        <v>88.6</v>
      </c>
      <c r="AO49" s="118">
        <v>88.6</v>
      </c>
      <c r="AP49" s="118">
        <v>88.5</v>
      </c>
      <c r="AQ49" s="118">
        <v>88.5</v>
      </c>
      <c r="AR49" s="118">
        <v>88.5</v>
      </c>
      <c r="AS49" s="118">
        <v>88.4</v>
      </c>
      <c r="AT49" s="118">
        <v>88.4</v>
      </c>
      <c r="AU49" s="118">
        <v>88.4</v>
      </c>
      <c r="AV49" s="118">
        <v>88.3</v>
      </c>
      <c r="AW49" s="118">
        <v>88.3</v>
      </c>
      <c r="AX49" s="118">
        <v>88.4</v>
      </c>
      <c r="AY49" s="118">
        <v>88.4</v>
      </c>
      <c r="AZ49" s="118">
        <v>88.4</v>
      </c>
      <c r="BA49" s="118">
        <v>88.4</v>
      </c>
      <c r="BB49" s="100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  <c r="IW49" s="98"/>
      <c r="IX49" s="98"/>
      <c r="IY49" s="98"/>
      <c r="IZ49" s="98"/>
      <c r="JA49" s="98"/>
      <c r="JB49" s="98"/>
      <c r="JC49" s="98"/>
      <c r="JD49" s="98"/>
      <c r="JE49" s="98"/>
      <c r="JF49" s="98"/>
      <c r="JG49" s="98"/>
      <c r="JH49" s="98"/>
      <c r="JI49" s="98"/>
      <c r="JJ49" s="98"/>
      <c r="JK49" s="98"/>
      <c r="JL49" s="98"/>
      <c r="JM49" s="98"/>
      <c r="JN49" s="98"/>
      <c r="JO49" s="98"/>
      <c r="JP49" s="98"/>
      <c r="JQ49" s="98"/>
      <c r="JR49" s="98"/>
      <c r="JS49" s="98"/>
      <c r="JT49" s="98"/>
      <c r="JU49" s="98"/>
      <c r="JV49" s="98"/>
      <c r="JW49" s="98"/>
      <c r="JX49" s="98"/>
      <c r="JY49" s="98"/>
      <c r="JZ49" s="98"/>
      <c r="KA49" s="98"/>
      <c r="KB49" s="98"/>
      <c r="KC49" s="98"/>
      <c r="KD49" s="98"/>
      <c r="KE49" s="98"/>
      <c r="KF49" s="98"/>
      <c r="KG49" s="98"/>
      <c r="KH49" s="98"/>
      <c r="KI49" s="98"/>
      <c r="KJ49" s="98"/>
      <c r="KK49" s="98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</row>
    <row r="50" spans="1:321" x14ac:dyDescent="0.25">
      <c r="A50" s="106" t="s">
        <v>187</v>
      </c>
      <c r="B50" s="111">
        <v>9.646309966246438</v>
      </c>
      <c r="C50" s="111">
        <v>9.6526938072775508</v>
      </c>
      <c r="D50" s="111">
        <v>9.4932020055763022</v>
      </c>
      <c r="E50" s="111">
        <v>9.1269188312251242</v>
      </c>
      <c r="F50" s="111">
        <v>9.0546250382230493</v>
      </c>
      <c r="G50" s="111">
        <v>9.0543590996110588</v>
      </c>
      <c r="H50" s="111">
        <v>9.0543590996110588</v>
      </c>
      <c r="I50" s="111">
        <v>9.0619760108795191</v>
      </c>
      <c r="J50" s="111">
        <v>9.0665917089872909</v>
      </c>
      <c r="K50" s="111">
        <v>9.0522439074274779</v>
      </c>
      <c r="L50" s="111">
        <v>9.0381362769553295</v>
      </c>
      <c r="M50" s="111">
        <v>9.0569895866897294</v>
      </c>
      <c r="N50" s="111">
        <v>9.0548104912707927</v>
      </c>
      <c r="O50" s="111">
        <v>9.0255128644065117</v>
      </c>
      <c r="P50" s="111">
        <v>9.0404658422480448</v>
      </c>
      <c r="Q50" s="111">
        <v>9.02334682352482</v>
      </c>
      <c r="R50" s="111">
        <v>9.0351855450093783</v>
      </c>
      <c r="S50" s="111">
        <v>9.0487575946441421</v>
      </c>
      <c r="T50" s="111">
        <v>9.0622142451558592</v>
      </c>
      <c r="U50" s="124">
        <v>9.0700475938774989</v>
      </c>
      <c r="V50" s="111">
        <v>9.0794588348887615</v>
      </c>
      <c r="W50" s="119">
        <v>9.1101312047912248</v>
      </c>
      <c r="X50" s="119">
        <v>9.0854737342003151</v>
      </c>
      <c r="Y50" s="119">
        <v>9.1</v>
      </c>
      <c r="Z50" s="119">
        <v>9.1</v>
      </c>
      <c r="AA50" s="119">
        <v>9.1999999999999993</v>
      </c>
      <c r="AB50" s="119">
        <v>9.1999999999999993</v>
      </c>
      <c r="AC50" s="119">
        <v>9.1</v>
      </c>
      <c r="AD50" s="119">
        <v>9.1999999999999993</v>
      </c>
      <c r="AE50" s="119">
        <v>9.1999999999999993</v>
      </c>
      <c r="AF50" s="119">
        <v>9</v>
      </c>
      <c r="AG50" s="119">
        <v>9.3000000000000007</v>
      </c>
      <c r="AH50" s="119">
        <v>9.3000000000000007</v>
      </c>
      <c r="AI50" s="119">
        <v>9.4</v>
      </c>
      <c r="AJ50" s="119">
        <v>9.4</v>
      </c>
      <c r="AK50" s="119">
        <v>9.5</v>
      </c>
      <c r="AL50" s="119">
        <v>9.5</v>
      </c>
      <c r="AM50" s="119">
        <v>9.5</v>
      </c>
      <c r="AN50" s="119">
        <v>9.6</v>
      </c>
      <c r="AO50" s="119">
        <v>9.6999999999999993</v>
      </c>
      <c r="AP50" s="119">
        <v>9.8000000000000007</v>
      </c>
      <c r="AQ50" s="119">
        <v>9.9</v>
      </c>
      <c r="AR50" s="119">
        <v>9.9</v>
      </c>
      <c r="AS50" s="119">
        <v>9.9</v>
      </c>
      <c r="AT50" s="119">
        <v>9.9</v>
      </c>
      <c r="AU50" s="119">
        <v>9.9</v>
      </c>
      <c r="AV50" s="119">
        <v>10</v>
      </c>
      <c r="AW50" s="119">
        <v>10</v>
      </c>
      <c r="AX50" s="119">
        <v>9.9</v>
      </c>
      <c r="AY50" s="119">
        <v>9.9</v>
      </c>
      <c r="AZ50" s="119">
        <v>9.6999999999999993</v>
      </c>
      <c r="BA50" s="119">
        <v>9.8000000000000007</v>
      </c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  <c r="IW50" s="98"/>
      <c r="IX50" s="98"/>
      <c r="IY50" s="98"/>
      <c r="IZ50" s="98"/>
      <c r="JA50" s="98"/>
      <c r="JB50" s="98"/>
      <c r="JC50" s="98"/>
      <c r="JD50" s="98"/>
      <c r="JE50" s="98"/>
      <c r="JF50" s="98"/>
      <c r="JG50" s="98"/>
      <c r="JH50" s="98"/>
      <c r="JI50" s="98"/>
      <c r="JJ50" s="98"/>
      <c r="JK50" s="98"/>
      <c r="JL50" s="98"/>
      <c r="JM50" s="98"/>
      <c r="JN50" s="98"/>
      <c r="JO50" s="98"/>
      <c r="JP50" s="98"/>
      <c r="JQ50" s="98"/>
      <c r="JR50" s="98"/>
      <c r="JS50" s="98"/>
      <c r="JT50" s="98"/>
      <c r="JU50" s="98"/>
      <c r="JV50" s="98"/>
      <c r="JW50" s="98"/>
      <c r="JX50" s="98"/>
      <c r="JY50" s="98"/>
      <c r="JZ50" s="98"/>
      <c r="KA50" s="98"/>
      <c r="KB50" s="98"/>
      <c r="KC50" s="98"/>
      <c r="KD50" s="98"/>
      <c r="KE50" s="98"/>
      <c r="KF50" s="98"/>
      <c r="KG50" s="98"/>
      <c r="KH50" s="98"/>
      <c r="KI50" s="98"/>
      <c r="KJ50" s="98"/>
      <c r="KK50" s="98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</row>
    <row r="51" spans="1:321" x14ac:dyDescent="0.25">
      <c r="A51" s="103" t="s">
        <v>188</v>
      </c>
      <c r="B51" s="112">
        <v>0.60828646081888083</v>
      </c>
      <c r="C51" s="112">
        <v>0.61023748160636171</v>
      </c>
      <c r="D51" s="112">
        <v>0.61087518553524356</v>
      </c>
      <c r="E51" s="112">
        <v>0.61174989520435408</v>
      </c>
      <c r="F51" s="112">
        <v>0.61552517889416591</v>
      </c>
      <c r="G51" s="112">
        <v>0.61579577127467444</v>
      </c>
      <c r="H51" s="112">
        <v>0.61579577127467366</v>
      </c>
      <c r="I51" s="112">
        <v>0.61661352014011728</v>
      </c>
      <c r="J51" s="112">
        <v>0.61852100164932844</v>
      </c>
      <c r="K51" s="112">
        <v>0.61988886340826888</v>
      </c>
      <c r="L51" s="112">
        <v>0.61870643618723697</v>
      </c>
      <c r="M51" s="112">
        <v>0.60948726760001604</v>
      </c>
      <c r="N51" s="112">
        <v>0.61588300581077238</v>
      </c>
      <c r="O51" s="112">
        <v>0.61284915988933442</v>
      </c>
      <c r="P51" s="112">
        <v>0.60819652425488946</v>
      </c>
      <c r="Q51" s="112">
        <v>0.60487636671886902</v>
      </c>
      <c r="R51" s="112">
        <v>0.60759792675950841</v>
      </c>
      <c r="S51" s="112">
        <v>0.61122310182653228</v>
      </c>
      <c r="T51" s="112">
        <v>0.61183925678804507</v>
      </c>
      <c r="U51" s="123">
        <v>0.61478684446669485</v>
      </c>
      <c r="V51" s="112">
        <v>0.6195532069298173</v>
      </c>
      <c r="W51" s="118">
        <v>0.61164750751564345</v>
      </c>
      <c r="X51" s="118">
        <v>0.60925055365111502</v>
      </c>
      <c r="Y51" s="118">
        <v>0.6</v>
      </c>
      <c r="Z51" s="118">
        <v>0.6</v>
      </c>
      <c r="AA51" s="118">
        <v>0.6</v>
      </c>
      <c r="AB51" s="118">
        <v>0.6</v>
      </c>
      <c r="AC51" s="118">
        <v>1.2</v>
      </c>
      <c r="AD51" s="118">
        <v>0.6</v>
      </c>
      <c r="AE51" s="118">
        <v>0.6</v>
      </c>
      <c r="AF51" s="118">
        <v>0.6</v>
      </c>
      <c r="AG51" s="118">
        <v>0.7</v>
      </c>
      <c r="AH51" s="118">
        <v>0.7</v>
      </c>
      <c r="AI51" s="118">
        <v>0.7</v>
      </c>
      <c r="AJ51" s="118">
        <v>0.7</v>
      </c>
      <c r="AK51" s="118">
        <v>0.7</v>
      </c>
      <c r="AL51" s="118">
        <v>0.7</v>
      </c>
      <c r="AM51" s="118">
        <v>0.7</v>
      </c>
      <c r="AN51" s="118">
        <v>0.7</v>
      </c>
      <c r="AO51" s="118">
        <v>0.6</v>
      </c>
      <c r="AP51" s="118">
        <v>0.5</v>
      </c>
      <c r="AQ51" s="118">
        <v>0.5</v>
      </c>
      <c r="AR51" s="118">
        <v>0.5</v>
      </c>
      <c r="AS51" s="118">
        <v>0.5</v>
      </c>
      <c r="AT51" s="118">
        <v>0.5</v>
      </c>
      <c r="AU51" s="118">
        <v>0.6</v>
      </c>
      <c r="AV51" s="118">
        <v>0.6</v>
      </c>
      <c r="AW51" s="118">
        <v>0.6</v>
      </c>
      <c r="AX51" s="118">
        <v>0.6</v>
      </c>
      <c r="AY51" s="118">
        <v>0.6</v>
      </c>
      <c r="AZ51" s="118">
        <v>0.7</v>
      </c>
      <c r="BA51" s="118">
        <v>0.7</v>
      </c>
      <c r="BB51" s="100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  <c r="IW51" s="98"/>
      <c r="IX51" s="98"/>
      <c r="IY51" s="98"/>
      <c r="IZ51" s="98"/>
      <c r="JA51" s="98"/>
      <c r="JB51" s="98"/>
      <c r="JC51" s="98"/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/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</row>
    <row r="52" spans="1:321" x14ac:dyDescent="0.25">
      <c r="A52" s="106" t="s">
        <v>192</v>
      </c>
      <c r="B52" s="111">
        <v>0.46995973183091583</v>
      </c>
      <c r="C52" s="111">
        <v>0.47963445276624678</v>
      </c>
      <c r="D52" s="111">
        <v>0.65711481446898157</v>
      </c>
      <c r="E52" s="111">
        <v>1.0231301754005437</v>
      </c>
      <c r="F52" s="111">
        <v>1.095477077284837</v>
      </c>
      <c r="G52" s="111">
        <v>1.0960253997428908</v>
      </c>
      <c r="H52" s="111">
        <v>1.0960253997428908</v>
      </c>
      <c r="I52" s="111">
        <v>1.0967650971477834</v>
      </c>
      <c r="J52" s="111">
        <v>1.1005264963808516</v>
      </c>
      <c r="K52" s="111">
        <v>1.1003596915207285</v>
      </c>
      <c r="L52" s="111">
        <v>1.0848755924518398</v>
      </c>
      <c r="M52" s="111">
        <v>1.1076692166352553</v>
      </c>
      <c r="N52" s="111">
        <v>1.0929029622887094</v>
      </c>
      <c r="O52" s="111">
        <v>1.0947726869488359</v>
      </c>
      <c r="P52" s="111">
        <v>1.1067486393934756</v>
      </c>
      <c r="Q52" s="111">
        <v>1.13333331526087</v>
      </c>
      <c r="R52" s="111">
        <v>1.1367390602710363</v>
      </c>
      <c r="S52" s="111">
        <v>1.1127054457917449</v>
      </c>
      <c r="T52" s="111">
        <v>1.11259458293793</v>
      </c>
      <c r="U52" s="124">
        <v>1.1133827189189853</v>
      </c>
      <c r="V52" s="111">
        <v>1.1157904717395826</v>
      </c>
      <c r="W52" s="119">
        <v>1.1158407167591189</v>
      </c>
      <c r="X52" s="119">
        <v>1.1441128928494435</v>
      </c>
      <c r="Y52" s="119">
        <v>1.1000000000000001</v>
      </c>
      <c r="Z52" s="119">
        <v>1.1000000000000001</v>
      </c>
      <c r="AA52" s="119">
        <v>1.1000000000000001</v>
      </c>
      <c r="AB52" s="119">
        <v>1.1000000000000001</v>
      </c>
      <c r="AC52" s="119">
        <v>1.1000000000000001</v>
      </c>
      <c r="AD52" s="119">
        <v>1.1000000000000001</v>
      </c>
      <c r="AE52" s="119">
        <v>1.1000000000000001</v>
      </c>
      <c r="AF52" s="119">
        <v>1.1000000000000001</v>
      </c>
      <c r="AG52" s="119">
        <v>1.1000000000000001</v>
      </c>
      <c r="AH52" s="119">
        <v>1.1000000000000001</v>
      </c>
      <c r="AI52" s="119">
        <v>1.1000000000000001</v>
      </c>
      <c r="AJ52" s="119">
        <v>1.1000000000000001</v>
      </c>
      <c r="AK52" s="119">
        <v>1.1000000000000001</v>
      </c>
      <c r="AL52" s="119">
        <v>1.1000000000000001</v>
      </c>
      <c r="AM52" s="119">
        <v>1.1000000000000001</v>
      </c>
      <c r="AN52" s="119">
        <v>1.1000000000000001</v>
      </c>
      <c r="AO52" s="119">
        <v>1.1000000000000001</v>
      </c>
      <c r="AP52" s="119">
        <v>1.1000000000000001</v>
      </c>
      <c r="AQ52" s="119">
        <v>1.1000000000000001</v>
      </c>
      <c r="AR52" s="119">
        <v>1.1000000000000001</v>
      </c>
      <c r="AS52" s="119">
        <v>1.1000000000000001</v>
      </c>
      <c r="AT52" s="119">
        <v>1.1000000000000001</v>
      </c>
      <c r="AU52" s="119">
        <v>1.1000000000000001</v>
      </c>
      <c r="AV52" s="119">
        <v>1.1000000000000001</v>
      </c>
      <c r="AW52" s="119">
        <v>1.1000000000000001</v>
      </c>
      <c r="AX52" s="119">
        <v>1.2</v>
      </c>
      <c r="AY52" s="119">
        <v>1.1000000000000001</v>
      </c>
      <c r="AZ52" s="119">
        <v>1.1000000000000001</v>
      </c>
      <c r="BA52" s="119">
        <v>1.1000000000000001</v>
      </c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  <c r="IW52" s="98"/>
      <c r="IX52" s="98"/>
      <c r="IY52" s="98"/>
      <c r="IZ52" s="98"/>
      <c r="JA52" s="98"/>
      <c r="JB52" s="98"/>
      <c r="JC52" s="98"/>
      <c r="JD52" s="98"/>
      <c r="JE52" s="98"/>
      <c r="JF52" s="98"/>
      <c r="JG52" s="98"/>
      <c r="JH52" s="98"/>
      <c r="JI52" s="98"/>
      <c r="JJ52" s="98"/>
      <c r="JK52" s="98"/>
      <c r="JL52" s="98"/>
      <c r="JM52" s="98"/>
      <c r="JN52" s="98"/>
      <c r="JO52" s="98"/>
      <c r="JP52" s="98"/>
      <c r="JQ52" s="98"/>
      <c r="JR52" s="98"/>
      <c r="JS52" s="98"/>
      <c r="JT52" s="98"/>
      <c r="JU52" s="98"/>
      <c r="JV52" s="98"/>
      <c r="JW52" s="98"/>
      <c r="JX52" s="98"/>
      <c r="JY52" s="98"/>
      <c r="JZ52" s="98"/>
      <c r="KA52" s="98"/>
      <c r="KB52" s="98"/>
      <c r="KC52" s="98"/>
      <c r="KD52" s="98"/>
      <c r="KE52" s="98"/>
      <c r="KF52" s="98"/>
      <c r="KG52" s="98"/>
      <c r="KH52" s="98"/>
      <c r="KI52" s="98"/>
      <c r="KJ52" s="98"/>
      <c r="KK52" s="98"/>
      <c r="KL52" s="98"/>
      <c r="KM52" s="98"/>
      <c r="KN52" s="98"/>
      <c r="KO52" s="98"/>
      <c r="KP52" s="98"/>
      <c r="KQ52" s="98"/>
      <c r="KR52" s="98"/>
      <c r="KS52" s="98"/>
      <c r="KT52" s="98"/>
      <c r="KU52" s="98"/>
      <c r="KV52" s="98"/>
      <c r="KW52" s="98"/>
      <c r="KX52" s="98"/>
      <c r="KY52" s="98"/>
      <c r="KZ52" s="98"/>
      <c r="LA52" s="98"/>
      <c r="LB52" s="98"/>
      <c r="LC52" s="98"/>
      <c r="LD52" s="98"/>
      <c r="LE52" s="98"/>
      <c r="LF52" s="98"/>
      <c r="LG52" s="98"/>
      <c r="LH52" s="98"/>
      <c r="LI52" s="98"/>
    </row>
    <row r="53" spans="1:321" x14ac:dyDescent="0.25">
      <c r="A53" s="128" t="s">
        <v>21</v>
      </c>
      <c r="B53" s="126">
        <f>SUM(B49:B52)</f>
        <v>99.999999999999972</v>
      </c>
      <c r="C53" s="126">
        <v>100</v>
      </c>
      <c r="D53" s="126">
        <v>100</v>
      </c>
      <c r="E53" s="126">
        <v>100</v>
      </c>
      <c r="F53" s="126">
        <v>100</v>
      </c>
      <c r="G53" s="126">
        <v>99.999999999999986</v>
      </c>
      <c r="H53" s="126">
        <v>100</v>
      </c>
      <c r="I53" s="126">
        <v>100.00000000000001</v>
      </c>
      <c r="J53" s="126">
        <v>100</v>
      </c>
      <c r="K53" s="126">
        <v>100</v>
      </c>
      <c r="L53" s="126">
        <v>100</v>
      </c>
      <c r="M53" s="126">
        <v>100</v>
      </c>
      <c r="N53" s="126">
        <v>100</v>
      </c>
      <c r="O53" s="126">
        <v>99.999999999999986</v>
      </c>
      <c r="P53" s="126">
        <v>100</v>
      </c>
      <c r="Q53" s="126">
        <v>99.999999999999957</v>
      </c>
      <c r="R53" s="126">
        <v>99.999999999999986</v>
      </c>
      <c r="S53" s="126">
        <v>100.00000000000001</v>
      </c>
      <c r="T53" s="126">
        <v>100</v>
      </c>
      <c r="U53" s="126">
        <v>100.00000000000001</v>
      </c>
      <c r="V53" s="126">
        <v>100</v>
      </c>
      <c r="W53" s="121">
        <v>100</v>
      </c>
      <c r="X53" s="121">
        <v>100</v>
      </c>
      <c r="Y53" s="121">
        <v>100</v>
      </c>
      <c r="Z53" s="121">
        <v>100</v>
      </c>
      <c r="AA53" s="121">
        <v>100</v>
      </c>
      <c r="AB53" s="121">
        <v>100</v>
      </c>
      <c r="AC53" s="121">
        <v>100</v>
      </c>
      <c r="AD53" s="121">
        <v>100</v>
      </c>
      <c r="AE53" s="121">
        <v>100</v>
      </c>
      <c r="AF53" s="121">
        <v>100</v>
      </c>
      <c r="AG53" s="121">
        <v>100</v>
      </c>
      <c r="AH53" s="121">
        <v>100</v>
      </c>
      <c r="AI53" s="121">
        <v>100</v>
      </c>
      <c r="AJ53" s="121">
        <v>100</v>
      </c>
      <c r="AK53" s="121">
        <v>100</v>
      </c>
      <c r="AL53" s="121">
        <v>100</v>
      </c>
      <c r="AM53" s="121">
        <v>100</v>
      </c>
      <c r="AN53" s="121">
        <v>100</v>
      </c>
      <c r="AO53" s="121">
        <v>100</v>
      </c>
      <c r="AP53" s="121">
        <v>100</v>
      </c>
      <c r="AQ53" s="121">
        <v>100</v>
      </c>
      <c r="AR53" s="121">
        <v>100</v>
      </c>
      <c r="AS53" s="121">
        <v>100</v>
      </c>
      <c r="AT53" s="121">
        <v>100</v>
      </c>
      <c r="AU53" s="121">
        <v>100</v>
      </c>
      <c r="AV53" s="121">
        <v>100</v>
      </c>
      <c r="AW53" s="121">
        <v>100</v>
      </c>
      <c r="AX53" s="121">
        <v>100</v>
      </c>
      <c r="AY53" s="121">
        <v>100</v>
      </c>
      <c r="AZ53" s="121">
        <v>100</v>
      </c>
      <c r="BA53" s="121">
        <v>100</v>
      </c>
      <c r="BB53" s="101"/>
      <c r="BC53" s="102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  <c r="IW53" s="129"/>
      <c r="IX53" s="129"/>
      <c r="IY53" s="129"/>
      <c r="IZ53" s="129"/>
      <c r="JA53" s="129"/>
      <c r="JB53" s="129"/>
      <c r="JC53" s="129"/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/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/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/>
      <c r="LI53" s="129"/>
    </row>
    <row r="54" spans="1:32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99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8"/>
      <c r="IZ54" s="98"/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8"/>
      <c r="JO54" s="98"/>
      <c r="JP54" s="98"/>
      <c r="JQ54" s="98"/>
      <c r="JR54" s="98"/>
      <c r="JS54" s="98"/>
      <c r="JT54" s="98"/>
      <c r="JU54" s="98"/>
      <c r="JV54" s="98"/>
      <c r="JW54" s="98"/>
      <c r="JX54" s="98"/>
      <c r="JY54" s="98"/>
      <c r="JZ54" s="98"/>
      <c r="KA54" s="98"/>
      <c r="KB54" s="98"/>
      <c r="KC54" s="98"/>
      <c r="KD54" s="98"/>
      <c r="KE54" s="98"/>
      <c r="KF54" s="98"/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8"/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8"/>
    </row>
    <row r="55" spans="1:321" x14ac:dyDescent="0.25">
      <c r="A55" s="135" t="s">
        <v>457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6"/>
      <c r="S55" s="136"/>
      <c r="T55" s="137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9"/>
      <c r="AX55" s="139"/>
      <c r="AY55" s="139"/>
      <c r="AZ55" s="139"/>
      <c r="BA55" s="139"/>
      <c r="BB55" s="140"/>
      <c r="BC55" s="127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  <c r="JF55" s="134"/>
      <c r="JG55" s="134"/>
      <c r="JH55" s="134"/>
      <c r="JI55" s="134"/>
      <c r="JJ55" s="134"/>
      <c r="JK55" s="134"/>
      <c r="JL55" s="134"/>
      <c r="JM55" s="134"/>
      <c r="JN55" s="134"/>
      <c r="JO55" s="134"/>
      <c r="JP55" s="134"/>
      <c r="JQ55" s="134"/>
      <c r="JR55" s="134"/>
      <c r="JS55" s="134"/>
      <c r="JT55" s="134"/>
      <c r="JU55" s="134"/>
      <c r="JV55" s="134"/>
      <c r="JW55" s="134"/>
      <c r="JX55" s="134"/>
      <c r="JY55" s="134"/>
      <c r="JZ55" s="134"/>
      <c r="KA55" s="134"/>
      <c r="KB55" s="134"/>
      <c r="KC55" s="134"/>
      <c r="KD55" s="134"/>
      <c r="KE55" s="134"/>
      <c r="KF55" s="134"/>
      <c r="KG55" s="134"/>
      <c r="KH55" s="134"/>
      <c r="KI55" s="134"/>
      <c r="KJ55" s="134"/>
      <c r="KK55" s="134"/>
      <c r="KL55" s="134"/>
      <c r="KM55" s="134"/>
      <c r="KN55" s="134"/>
      <c r="KO55" s="134"/>
      <c r="KP55" s="134"/>
      <c r="KQ55" s="134"/>
      <c r="KR55" s="134"/>
      <c r="KS55" s="134"/>
      <c r="KT55" s="134"/>
      <c r="KU55" s="134"/>
      <c r="KV55" s="134"/>
      <c r="KW55" s="134"/>
      <c r="KX55" s="134"/>
      <c r="KY55" s="134"/>
      <c r="KZ55" s="134"/>
      <c r="LA55" s="134"/>
      <c r="LB55" s="134"/>
      <c r="LC55" s="134"/>
      <c r="LD55" s="134"/>
      <c r="LE55" s="134"/>
      <c r="LF55" s="134"/>
      <c r="LG55" s="134"/>
      <c r="LH55" s="134"/>
      <c r="LI55" s="134"/>
    </row>
    <row r="56" spans="1:321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99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  <c r="IW56" s="98"/>
      <c r="IX56" s="98"/>
      <c r="IY56" s="98"/>
      <c r="IZ56" s="98"/>
      <c r="JA56" s="98"/>
      <c r="JB56" s="98"/>
      <c r="JC56" s="98"/>
      <c r="JD56" s="98"/>
      <c r="JE56" s="98"/>
      <c r="JF56" s="98"/>
      <c r="JG56" s="98"/>
      <c r="JH56" s="98"/>
      <c r="JI56" s="98"/>
      <c r="JJ56" s="98"/>
      <c r="JK56" s="98"/>
      <c r="JL56" s="98"/>
      <c r="JM56" s="98"/>
      <c r="JN56" s="98"/>
      <c r="JO56" s="98"/>
      <c r="JP56" s="98"/>
      <c r="JQ56" s="98"/>
      <c r="JR56" s="98"/>
      <c r="JS56" s="98"/>
      <c r="JT56" s="98"/>
      <c r="JU56" s="98"/>
      <c r="JV56" s="98"/>
      <c r="JW56" s="98"/>
      <c r="JX56" s="98"/>
      <c r="JY56" s="98"/>
      <c r="JZ56" s="98"/>
      <c r="KA56" s="98"/>
      <c r="KB56" s="98"/>
      <c r="KC56" s="98"/>
      <c r="KD56" s="98"/>
      <c r="KE56" s="98"/>
      <c r="KF56" s="98"/>
      <c r="KG56" s="98"/>
      <c r="KH56" s="98"/>
      <c r="KI56" s="98"/>
      <c r="KJ56" s="98"/>
      <c r="KK56" s="98"/>
      <c r="KL56" s="98"/>
      <c r="KM56" s="98"/>
      <c r="KN56" s="98"/>
      <c r="KO56" s="98"/>
      <c r="KP56" s="98"/>
      <c r="KQ56" s="98"/>
      <c r="KR56" s="98"/>
      <c r="KS56" s="98"/>
      <c r="KT56" s="98"/>
      <c r="KU56" s="98"/>
      <c r="KV56" s="98"/>
      <c r="KW56" s="98"/>
      <c r="KX56" s="98"/>
      <c r="KY56" s="98"/>
      <c r="KZ56" s="98"/>
      <c r="LA56" s="98"/>
      <c r="LB56" s="98"/>
      <c r="LC56" s="98"/>
      <c r="LD56" s="98"/>
      <c r="LE56" s="98"/>
      <c r="LF56" s="98"/>
      <c r="LG56" s="98"/>
      <c r="LH56" s="98"/>
      <c r="LI56" s="98"/>
    </row>
    <row r="57" spans="1:321" x14ac:dyDescent="0.25">
      <c r="A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  <c r="IW57" s="98"/>
      <c r="IX57" s="98"/>
      <c r="IY57" s="98"/>
      <c r="IZ57" s="98"/>
      <c r="JA57" s="98"/>
      <c r="JB57" s="98"/>
      <c r="JC57" s="98"/>
      <c r="JD57" s="98"/>
      <c r="JE57" s="98"/>
      <c r="JF57" s="98"/>
      <c r="JG57" s="98"/>
      <c r="JH57" s="98"/>
      <c r="JI57" s="98"/>
      <c r="JJ57" s="98"/>
      <c r="JK57" s="98"/>
      <c r="JL57" s="98"/>
      <c r="JM57" s="98"/>
      <c r="JN57" s="98"/>
      <c r="JO57" s="98"/>
      <c r="JP57" s="98"/>
      <c r="JQ57" s="98"/>
      <c r="JR57" s="98"/>
      <c r="JS57" s="98"/>
      <c r="JT57" s="98"/>
      <c r="JU57" s="98"/>
      <c r="JV57" s="98"/>
      <c r="JW57" s="98"/>
      <c r="JX57" s="98"/>
      <c r="JY57" s="98"/>
      <c r="JZ57" s="98"/>
      <c r="KA57" s="98"/>
      <c r="KB57" s="98"/>
      <c r="KC57" s="98"/>
      <c r="KD57" s="98"/>
      <c r="KE57" s="98"/>
      <c r="KF57" s="98"/>
      <c r="KG57" s="98"/>
      <c r="KH57" s="98"/>
      <c r="KI57" s="98"/>
      <c r="KJ57" s="98"/>
      <c r="KK57" s="98"/>
      <c r="KL57" s="98"/>
      <c r="KM57" s="98"/>
      <c r="KN57" s="98"/>
      <c r="KO57" s="98"/>
      <c r="KP57" s="98"/>
      <c r="KQ57" s="98"/>
      <c r="KR57" s="98"/>
      <c r="KS57" s="98"/>
      <c r="KT57" s="98"/>
      <c r="KU57" s="98"/>
      <c r="KV57" s="98"/>
      <c r="KW57" s="98"/>
      <c r="KX57" s="98"/>
      <c r="KY57" s="98"/>
      <c r="KZ57" s="98"/>
      <c r="LA57" s="98"/>
      <c r="LB57" s="98"/>
      <c r="LC57" s="98"/>
      <c r="LD57" s="98"/>
      <c r="LE57" s="98"/>
      <c r="LF57" s="98"/>
      <c r="LG57" s="98"/>
      <c r="LH57" s="98"/>
      <c r="LI57" s="98"/>
    </row>
    <row r="58" spans="1:321" x14ac:dyDescent="0.25">
      <c r="A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  <c r="IW58" s="98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98"/>
      <c r="JS58" s="98"/>
      <c r="JT58" s="98"/>
      <c r="JU58" s="98"/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</row>
    <row r="59" spans="1:321" x14ac:dyDescent="0.25">
      <c r="A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</row>
    <row r="60" spans="1:321" x14ac:dyDescent="0.25">
      <c r="A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  <c r="IW60" s="98"/>
      <c r="IX60" s="98"/>
      <c r="IY60" s="98"/>
      <c r="IZ60" s="98"/>
      <c r="JA60" s="98"/>
      <c r="JB60" s="98"/>
      <c r="JC60" s="98"/>
      <c r="JD60" s="98"/>
      <c r="JE60" s="98"/>
      <c r="JF60" s="98"/>
      <c r="JG60" s="98"/>
      <c r="JH60" s="98"/>
      <c r="JI60" s="98"/>
      <c r="JJ60" s="98"/>
      <c r="JK60" s="98"/>
      <c r="JL60" s="98"/>
      <c r="JM60" s="98"/>
      <c r="JN60" s="98"/>
      <c r="JO60" s="98"/>
      <c r="JP60" s="98"/>
      <c r="JQ60" s="98"/>
      <c r="JR60" s="98"/>
      <c r="JS60" s="98"/>
      <c r="JT60" s="98"/>
      <c r="JU60" s="98"/>
      <c r="JV60" s="98"/>
      <c r="JW60" s="98"/>
      <c r="JX60" s="98"/>
      <c r="JY60" s="98"/>
      <c r="JZ60" s="98"/>
      <c r="KA60" s="98"/>
      <c r="KB60" s="98"/>
      <c r="KC60" s="98"/>
      <c r="KD60" s="98"/>
      <c r="KE60" s="98"/>
      <c r="KF60" s="98"/>
      <c r="KG60" s="98"/>
      <c r="KH60" s="98"/>
      <c r="KI60" s="98"/>
      <c r="KJ60" s="98"/>
      <c r="KK60" s="98"/>
      <c r="KL60" s="98"/>
      <c r="KM60" s="98"/>
      <c r="KN60" s="98"/>
      <c r="KO60" s="98"/>
      <c r="KP60" s="98"/>
      <c r="KQ60" s="98"/>
      <c r="KR60" s="98"/>
      <c r="KS60" s="98"/>
      <c r="KT60" s="98"/>
      <c r="KU60" s="98"/>
      <c r="KV60" s="98"/>
      <c r="KW60" s="98"/>
      <c r="KX60" s="98"/>
      <c r="KY60" s="98"/>
      <c r="KZ60" s="98"/>
      <c r="LA60" s="98"/>
      <c r="LB60" s="98"/>
      <c r="LC60" s="98"/>
      <c r="LD60" s="98"/>
      <c r="LE60" s="98"/>
      <c r="LF60" s="98"/>
      <c r="LG60" s="98"/>
      <c r="LH60" s="98"/>
      <c r="LI60" s="98"/>
    </row>
    <row r="61" spans="1:321" x14ac:dyDescent="0.25">
      <c r="A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</row>
  </sheetData>
  <mergeCells count="1">
    <mergeCell ref="L1:AM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XFC251"/>
  <sheetViews>
    <sheetView tabSelected="1" zoomScale="120" zoomScaleNormal="120" workbookViewId="0">
      <selection activeCell="E16" sqref="E16"/>
    </sheetView>
  </sheetViews>
  <sheetFormatPr defaultColWidth="0" defaultRowHeight="15" customHeight="1" zeroHeight="1" x14ac:dyDescent="0.25"/>
  <cols>
    <col min="1" max="1" width="17.85546875" style="99" customWidth="1"/>
    <col min="2" max="2" width="15.85546875" style="99" customWidth="1"/>
    <col min="3" max="3" width="14.42578125" style="99" customWidth="1"/>
    <col min="4" max="4" width="17.28515625" style="99" customWidth="1"/>
    <col min="5" max="5" width="12.7109375" style="99" customWidth="1"/>
    <col min="6" max="6" width="11" style="99" bestFit="1" customWidth="1"/>
    <col min="7" max="7" width="15.5703125" style="99" customWidth="1"/>
    <col min="8" max="367" width="0" style="208" hidden="1"/>
    <col min="368" max="16383" width="9.140625" style="208" hidden="1"/>
    <col min="16384" max="16384" width="2.7109375" style="208" hidden="1"/>
  </cols>
  <sheetData>
    <row r="1" spans="1:34" ht="81.599999999999994" customHeight="1" x14ac:dyDescent="0.25">
      <c r="A1" s="108"/>
      <c r="B1" s="110"/>
      <c r="C1" s="359" t="s">
        <v>267</v>
      </c>
      <c r="D1" s="359"/>
      <c r="E1" s="359"/>
      <c r="F1" s="359"/>
      <c r="G1" s="359"/>
      <c r="H1" s="210"/>
      <c r="I1" s="210"/>
      <c r="J1" s="210"/>
      <c r="K1" s="210"/>
      <c r="L1" s="210"/>
      <c r="M1" s="210"/>
      <c r="N1" s="210"/>
      <c r="O1" s="149"/>
      <c r="P1" s="149"/>
      <c r="Q1" s="149"/>
      <c r="R1" s="149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s="211" customFormat="1" ht="36" x14ac:dyDescent="0.25">
      <c r="A2" s="276" t="s">
        <v>268</v>
      </c>
      <c r="B2" s="276" t="s">
        <v>269</v>
      </c>
      <c r="C2" s="276" t="s">
        <v>270</v>
      </c>
      <c r="D2" s="276" t="s">
        <v>271</v>
      </c>
      <c r="E2" s="276" t="s">
        <v>272</v>
      </c>
      <c r="F2" s="277" t="s">
        <v>273</v>
      </c>
      <c r="G2" s="276" t="s">
        <v>274</v>
      </c>
    </row>
    <row r="3" spans="1:34" s="211" customFormat="1" ht="12" x14ac:dyDescent="0.25">
      <c r="A3" s="226" t="s">
        <v>498</v>
      </c>
      <c r="B3" s="227"/>
      <c r="C3" s="228"/>
      <c r="D3" s="229"/>
      <c r="E3" s="230"/>
      <c r="F3" s="231"/>
      <c r="G3" s="226"/>
    </row>
    <row r="4" spans="1:34" s="211" customFormat="1" ht="12" x14ac:dyDescent="0.25">
      <c r="A4" s="239"/>
      <c r="B4" s="240" t="s">
        <v>496</v>
      </c>
      <c r="C4" s="241" t="s">
        <v>499</v>
      </c>
      <c r="D4" s="242">
        <v>117595755.91</v>
      </c>
      <c r="E4" s="243">
        <v>0.31013057760000001</v>
      </c>
      <c r="F4" s="244">
        <v>45376</v>
      </c>
      <c r="G4" s="245">
        <v>45429</v>
      </c>
    </row>
    <row r="5" spans="1:34" s="211" customFormat="1" ht="12" x14ac:dyDescent="0.25">
      <c r="A5" s="239"/>
      <c r="B5" s="240" t="s">
        <v>496</v>
      </c>
      <c r="C5" s="241" t="s">
        <v>500</v>
      </c>
      <c r="D5" s="242">
        <v>54831353.409999996</v>
      </c>
      <c r="E5" s="243">
        <v>0.14460453249999999</v>
      </c>
      <c r="F5" s="244">
        <v>45376</v>
      </c>
      <c r="G5" s="245">
        <v>45429</v>
      </c>
    </row>
    <row r="6" spans="1:34" s="211" customFormat="1" ht="24" x14ac:dyDescent="0.25">
      <c r="A6" s="226" t="s">
        <v>497</v>
      </c>
      <c r="B6" s="227"/>
      <c r="C6" s="228"/>
      <c r="D6" s="229">
        <f>SUM(D4:D5)</f>
        <v>172427109.31999999</v>
      </c>
      <c r="E6" s="230">
        <f>SUM(E4:E5)</f>
        <v>0.45473511010000001</v>
      </c>
      <c r="F6" s="231"/>
      <c r="G6" s="226"/>
    </row>
    <row r="7" spans="1:34" s="211" customFormat="1" ht="12" x14ac:dyDescent="0.25">
      <c r="A7" s="246"/>
      <c r="B7" s="246"/>
      <c r="C7" s="247"/>
      <c r="D7" s="248"/>
      <c r="E7" s="249"/>
      <c r="F7" s="250"/>
      <c r="G7" s="251"/>
    </row>
    <row r="8" spans="1:34" s="212" customFormat="1" ht="15.75" x14ac:dyDescent="0.25">
      <c r="A8" s="226" t="s">
        <v>275</v>
      </c>
      <c r="B8" s="227"/>
      <c r="C8" s="228"/>
      <c r="D8" s="229"/>
      <c r="E8" s="230"/>
      <c r="F8" s="231"/>
      <c r="G8" s="226"/>
    </row>
    <row r="9" spans="1:34" s="214" customFormat="1" ht="15" customHeight="1" x14ac:dyDescent="0.25">
      <c r="A9" s="239"/>
      <c r="B9" s="240" t="s">
        <v>276</v>
      </c>
      <c r="C9" s="241" t="s">
        <v>277</v>
      </c>
      <c r="D9" s="242">
        <v>131582837.88</v>
      </c>
      <c r="E9" s="243">
        <v>0.34701813999999997</v>
      </c>
      <c r="F9" s="244">
        <v>45007</v>
      </c>
      <c r="G9" s="245">
        <v>45062</v>
      </c>
    </row>
    <row r="10" spans="1:34" s="214" customFormat="1" ht="15" customHeight="1" x14ac:dyDescent="0.25">
      <c r="A10" s="246"/>
      <c r="B10" s="246" t="s">
        <v>401</v>
      </c>
      <c r="C10" s="247" t="s">
        <v>402</v>
      </c>
      <c r="D10" s="248">
        <v>128511039.81</v>
      </c>
      <c r="E10" s="249">
        <v>0.33891701870000002</v>
      </c>
      <c r="F10" s="250">
        <v>45098</v>
      </c>
      <c r="G10" s="251">
        <v>45152</v>
      </c>
    </row>
    <row r="11" spans="1:34" s="215" customFormat="1" x14ac:dyDescent="0.25">
      <c r="A11" s="239"/>
      <c r="B11" s="240" t="s">
        <v>406</v>
      </c>
      <c r="C11" s="241" t="s">
        <v>405</v>
      </c>
      <c r="D11" s="242">
        <v>127431629.05</v>
      </c>
      <c r="E11" s="243">
        <v>0.33607033200000003</v>
      </c>
      <c r="F11" s="244">
        <v>45190</v>
      </c>
      <c r="G11" s="245" t="s">
        <v>419</v>
      </c>
    </row>
    <row r="12" spans="1:34" s="215" customFormat="1" ht="24" x14ac:dyDescent="0.25">
      <c r="A12" s="246"/>
      <c r="B12" s="246" t="s">
        <v>416</v>
      </c>
      <c r="C12" s="247" t="s">
        <v>415</v>
      </c>
      <c r="D12" s="248">
        <v>372471814.19999999</v>
      </c>
      <c r="E12" s="249">
        <v>0.98230499900000001</v>
      </c>
      <c r="F12" s="250">
        <v>45273</v>
      </c>
      <c r="G12" s="251">
        <v>45288</v>
      </c>
    </row>
    <row r="13" spans="1:34" s="215" customFormat="1" ht="24" x14ac:dyDescent="0.25">
      <c r="A13" s="239"/>
      <c r="B13" s="240" t="s">
        <v>418</v>
      </c>
      <c r="C13" s="241" t="s">
        <v>417</v>
      </c>
      <c r="D13" s="242">
        <v>91606229.549999997</v>
      </c>
      <c r="E13" s="243">
        <v>0.24158944060000001</v>
      </c>
      <c r="F13" s="244">
        <v>45281</v>
      </c>
      <c r="G13" s="245" t="s">
        <v>420</v>
      </c>
    </row>
    <row r="14" spans="1:34" s="215" customFormat="1" ht="24" x14ac:dyDescent="0.25">
      <c r="A14" s="246"/>
      <c r="B14" s="246" t="s">
        <v>496</v>
      </c>
      <c r="C14" s="247" t="s">
        <v>495</v>
      </c>
      <c r="D14" s="248">
        <v>158650790.78</v>
      </c>
      <c r="E14" s="249">
        <v>0.41840337690000001</v>
      </c>
      <c r="F14" s="250">
        <v>45376</v>
      </c>
      <c r="G14" s="251" t="s">
        <v>420</v>
      </c>
    </row>
    <row r="15" spans="1:34" s="212" customFormat="1" ht="24" x14ac:dyDescent="0.25">
      <c r="A15" s="226" t="s">
        <v>278</v>
      </c>
      <c r="B15" s="227"/>
      <c r="C15" s="228"/>
      <c r="D15" s="229">
        <f>SUM(D9:D14)</f>
        <v>1010254341.27</v>
      </c>
      <c r="E15" s="230">
        <f>SUM(E9:E14)</f>
        <v>2.6643033072</v>
      </c>
      <c r="F15" s="231" t="s">
        <v>0</v>
      </c>
      <c r="G15" s="226" t="s">
        <v>0</v>
      </c>
    </row>
    <row r="16" spans="1:34" s="215" customFormat="1" x14ac:dyDescent="0.25">
      <c r="A16" s="246"/>
      <c r="B16" s="246"/>
      <c r="C16" s="247"/>
      <c r="D16" s="248"/>
      <c r="E16" s="249"/>
      <c r="F16" s="250"/>
      <c r="G16" s="251"/>
    </row>
    <row r="17" spans="1:7" s="212" customFormat="1" ht="15.75" x14ac:dyDescent="0.25">
      <c r="A17" s="226" t="s">
        <v>279</v>
      </c>
      <c r="B17" s="227"/>
      <c r="C17" s="228"/>
      <c r="D17" s="229"/>
      <c r="E17" s="230"/>
      <c r="F17" s="231"/>
      <c r="G17" s="226"/>
    </row>
    <row r="18" spans="1:7" s="215" customFormat="1" x14ac:dyDescent="0.25">
      <c r="A18" s="246"/>
      <c r="B18" s="246" t="s">
        <v>280</v>
      </c>
      <c r="C18" s="247" t="s">
        <v>281</v>
      </c>
      <c r="D18" s="248">
        <v>33871499.859999999</v>
      </c>
      <c r="E18" s="249">
        <v>8.9327950099999998E-2</v>
      </c>
      <c r="F18" s="250">
        <v>44642</v>
      </c>
      <c r="G18" s="251">
        <v>44697</v>
      </c>
    </row>
    <row r="19" spans="1:7" s="216" customFormat="1" x14ac:dyDescent="0.25">
      <c r="A19" s="240"/>
      <c r="B19" s="240" t="s">
        <v>282</v>
      </c>
      <c r="C19" s="241" t="s">
        <v>283</v>
      </c>
      <c r="D19" s="242">
        <v>53136372.259999998</v>
      </c>
      <c r="E19" s="243">
        <v>0.1401344266</v>
      </c>
      <c r="F19" s="244">
        <v>44733</v>
      </c>
      <c r="G19" s="245">
        <v>44785</v>
      </c>
    </row>
    <row r="20" spans="1:7" s="216" customFormat="1" x14ac:dyDescent="0.25">
      <c r="A20" s="246"/>
      <c r="B20" s="246" t="s">
        <v>284</v>
      </c>
      <c r="C20" s="247" t="s">
        <v>285</v>
      </c>
      <c r="D20" s="248">
        <v>58723693.789999999</v>
      </c>
      <c r="E20" s="249">
        <v>0.15486964589999999</v>
      </c>
      <c r="F20" s="250">
        <v>44824</v>
      </c>
      <c r="G20" s="251">
        <v>44879</v>
      </c>
    </row>
    <row r="21" spans="1:7" s="216" customFormat="1" ht="15" customHeight="1" x14ac:dyDescent="0.25">
      <c r="A21" s="239"/>
      <c r="B21" s="240" t="s">
        <v>403</v>
      </c>
      <c r="C21" s="241" t="s">
        <v>286</v>
      </c>
      <c r="D21" s="242">
        <v>245373710.56999999</v>
      </c>
      <c r="E21" s="243">
        <v>0.64711426000000005</v>
      </c>
      <c r="F21" s="244">
        <v>45007</v>
      </c>
      <c r="G21" s="245">
        <v>45104</v>
      </c>
    </row>
    <row r="22" spans="1:7" s="216" customFormat="1" ht="24" x14ac:dyDescent="0.25">
      <c r="A22" s="226" t="s">
        <v>287</v>
      </c>
      <c r="B22" s="227"/>
      <c r="C22" s="228"/>
      <c r="D22" s="229">
        <f>SUM(D18:D21)</f>
        <v>391105276.48000002</v>
      </c>
      <c r="E22" s="230">
        <f>SUM(E18:E21)</f>
        <v>1.0314462826000002</v>
      </c>
      <c r="F22" s="231" t="s">
        <v>0</v>
      </c>
      <c r="G22" s="226" t="s">
        <v>0</v>
      </c>
    </row>
    <row r="23" spans="1:7" s="215" customFormat="1" x14ac:dyDescent="0.25">
      <c r="A23" s="246"/>
      <c r="B23" s="246"/>
      <c r="C23" s="247"/>
      <c r="D23" s="248"/>
      <c r="E23" s="249"/>
      <c r="F23" s="250"/>
      <c r="G23" s="251"/>
    </row>
    <row r="24" spans="1:7" s="216" customFormat="1" x14ac:dyDescent="0.25">
      <c r="A24" s="226" t="s">
        <v>288</v>
      </c>
      <c r="B24" s="227"/>
      <c r="C24" s="228"/>
      <c r="D24" s="229"/>
      <c r="E24" s="230"/>
      <c r="F24" s="231"/>
      <c r="G24" s="226"/>
    </row>
    <row r="25" spans="1:7" s="214" customFormat="1" ht="12" x14ac:dyDescent="0.25">
      <c r="A25" s="246"/>
      <c r="B25" s="246" t="s">
        <v>289</v>
      </c>
      <c r="C25" s="247" t="s">
        <v>290</v>
      </c>
      <c r="D25" s="248">
        <v>64843860.93</v>
      </c>
      <c r="E25" s="249">
        <v>0.17101011760000001</v>
      </c>
      <c r="F25" s="250">
        <v>44279</v>
      </c>
      <c r="G25" s="251">
        <v>44334</v>
      </c>
    </row>
    <row r="26" spans="1:7" s="216" customFormat="1" x14ac:dyDescent="0.25">
      <c r="A26" s="239"/>
      <c r="B26" s="239" t="s">
        <v>291</v>
      </c>
      <c r="C26" s="241" t="s">
        <v>292</v>
      </c>
      <c r="D26" s="252">
        <v>55173901.25</v>
      </c>
      <c r="E26" s="253">
        <v>0.1455079202</v>
      </c>
      <c r="F26" s="244">
        <v>44369</v>
      </c>
      <c r="G26" s="254">
        <v>44424</v>
      </c>
    </row>
    <row r="27" spans="1:7" s="214" customFormat="1" ht="12" x14ac:dyDescent="0.25">
      <c r="A27" s="246"/>
      <c r="B27" s="246" t="s">
        <v>293</v>
      </c>
      <c r="C27" s="247" t="s">
        <v>294</v>
      </c>
      <c r="D27" s="248">
        <v>105282237.81999999</v>
      </c>
      <c r="E27" s="249">
        <v>0.27765662899999999</v>
      </c>
      <c r="F27" s="250">
        <v>44463</v>
      </c>
      <c r="G27" s="251">
        <v>44519</v>
      </c>
    </row>
    <row r="28" spans="1:7" s="216" customFormat="1" x14ac:dyDescent="0.25">
      <c r="A28" s="240"/>
      <c r="B28" s="240" t="s">
        <v>293</v>
      </c>
      <c r="C28" s="241" t="s">
        <v>295</v>
      </c>
      <c r="D28" s="242">
        <v>57380694.539999999</v>
      </c>
      <c r="E28" s="243">
        <v>0.15132780800000001</v>
      </c>
      <c r="F28" s="244">
        <v>44463</v>
      </c>
      <c r="G28" s="245">
        <v>44519</v>
      </c>
    </row>
    <row r="29" spans="1:7" s="215" customFormat="1" ht="24" x14ac:dyDescent="0.25">
      <c r="A29" s="226" t="s">
        <v>296</v>
      </c>
      <c r="B29" s="227"/>
      <c r="C29" s="228"/>
      <c r="D29" s="229">
        <f>SUM(D24:D28)</f>
        <v>282680694.54000002</v>
      </c>
      <c r="E29" s="230">
        <f>SUM(E24:E28)</f>
        <v>0.74550247479999998</v>
      </c>
      <c r="F29" s="231" t="s">
        <v>0</v>
      </c>
      <c r="G29" s="226" t="s">
        <v>0</v>
      </c>
    </row>
    <row r="30" spans="1:7" s="216" customFormat="1" x14ac:dyDescent="0.25">
      <c r="A30" s="246"/>
      <c r="B30" s="246"/>
      <c r="C30" s="247"/>
      <c r="D30" s="248"/>
      <c r="E30" s="249"/>
      <c r="F30" s="250"/>
      <c r="G30" s="251"/>
    </row>
    <row r="31" spans="1:7" s="214" customFormat="1" ht="12" x14ac:dyDescent="0.25">
      <c r="A31" s="226" t="s">
        <v>297</v>
      </c>
      <c r="B31" s="227"/>
      <c r="C31" s="228"/>
      <c r="D31" s="229"/>
      <c r="E31" s="230"/>
      <c r="F31" s="231"/>
      <c r="G31" s="226"/>
    </row>
    <row r="32" spans="1:7" s="217" customFormat="1" ht="14.25" x14ac:dyDescent="0.25">
      <c r="A32" s="246"/>
      <c r="B32" s="246" t="s">
        <v>298</v>
      </c>
      <c r="C32" s="247" t="s">
        <v>299</v>
      </c>
      <c r="D32" s="248">
        <v>45465821.25</v>
      </c>
      <c r="E32" s="249">
        <f>0.3597155687/3</f>
        <v>0.11990518956666667</v>
      </c>
      <c r="F32" s="250">
        <v>43915</v>
      </c>
      <c r="G32" s="251">
        <v>43970</v>
      </c>
    </row>
    <row r="33" spans="1:7" s="214" customFormat="1" ht="12" x14ac:dyDescent="0.25">
      <c r="A33" s="239"/>
      <c r="B33" s="239" t="s">
        <v>300</v>
      </c>
      <c r="C33" s="241" t="s">
        <v>301</v>
      </c>
      <c r="D33" s="252">
        <v>43896091.969999999</v>
      </c>
      <c r="E33" s="253">
        <f>0.3472962162/3</f>
        <v>0.11576540540000001</v>
      </c>
      <c r="F33" s="244">
        <v>44005</v>
      </c>
      <c r="G33" s="254">
        <v>44060</v>
      </c>
    </row>
    <row r="34" spans="1:7" s="216" customFormat="1" x14ac:dyDescent="0.25">
      <c r="A34" s="246"/>
      <c r="B34" s="246" t="s">
        <v>302</v>
      </c>
      <c r="C34" s="247" t="s">
        <v>303</v>
      </c>
      <c r="D34" s="248">
        <v>63124052.770000003</v>
      </c>
      <c r="E34" s="249">
        <f>0.4994236092/3</f>
        <v>0.16647453640000001</v>
      </c>
      <c r="F34" s="250">
        <v>44096</v>
      </c>
      <c r="G34" s="251">
        <v>44151</v>
      </c>
    </row>
    <row r="35" spans="1:7" s="215" customFormat="1" ht="24" x14ac:dyDescent="0.25">
      <c r="A35" s="239"/>
      <c r="B35" s="239" t="s">
        <v>304</v>
      </c>
      <c r="C35" s="241" t="s">
        <v>305</v>
      </c>
      <c r="D35" s="252">
        <v>820000000</v>
      </c>
      <c r="E35" s="253">
        <f>6.48765948269144/3</f>
        <v>2.1625531608971467</v>
      </c>
      <c r="F35" s="244">
        <v>44154</v>
      </c>
      <c r="G35" s="254">
        <v>44175</v>
      </c>
    </row>
    <row r="36" spans="1:7" s="216" customFormat="1" x14ac:dyDescent="0.25">
      <c r="A36" s="246"/>
      <c r="B36" s="246" t="s">
        <v>306</v>
      </c>
      <c r="C36" s="247" t="s">
        <v>307</v>
      </c>
      <c r="D36" s="248">
        <v>75540425.840000004</v>
      </c>
      <c r="E36" s="249">
        <v>0.19921973979999999</v>
      </c>
      <c r="F36" s="250">
        <v>44257</v>
      </c>
      <c r="G36" s="251">
        <v>44372</v>
      </c>
    </row>
    <row r="37" spans="1:7" s="214" customFormat="1" ht="24" x14ac:dyDescent="0.25">
      <c r="A37" s="226" t="s">
        <v>308</v>
      </c>
      <c r="B37" s="227"/>
      <c r="C37" s="228"/>
      <c r="D37" s="229">
        <f>SUM(D32:D36)</f>
        <v>1048026391.83</v>
      </c>
      <c r="E37" s="230">
        <f>SUM(E32:E36)</f>
        <v>2.7639180320638137</v>
      </c>
      <c r="F37" s="231" t="s">
        <v>0</v>
      </c>
      <c r="G37" s="226" t="s">
        <v>0</v>
      </c>
    </row>
    <row r="38" spans="1:7" s="217" customFormat="1" ht="14.25" x14ac:dyDescent="0.25">
      <c r="A38" s="256"/>
      <c r="B38" s="256"/>
      <c r="C38" s="241"/>
      <c r="D38" s="257"/>
      <c r="E38" s="258"/>
      <c r="F38" s="259"/>
      <c r="G38" s="260"/>
    </row>
    <row r="39" spans="1:7" s="214" customFormat="1" ht="12" x14ac:dyDescent="0.25">
      <c r="A39" s="226" t="s">
        <v>309</v>
      </c>
      <c r="B39" s="227"/>
      <c r="C39" s="228"/>
      <c r="D39" s="229"/>
      <c r="E39" s="230"/>
      <c r="F39" s="231"/>
      <c r="G39" s="226"/>
    </row>
    <row r="40" spans="1:7" s="216" customFormat="1" x14ac:dyDescent="0.25">
      <c r="A40" s="246"/>
      <c r="B40" s="246" t="s">
        <v>310</v>
      </c>
      <c r="C40" s="247" t="s">
        <v>311</v>
      </c>
      <c r="D40" s="248">
        <v>52988119.399999999</v>
      </c>
      <c r="E40" s="249">
        <f>0.4192303357/3</f>
        <v>0.13974344523333335</v>
      </c>
      <c r="F40" s="250">
        <v>43550</v>
      </c>
      <c r="G40" s="251">
        <v>43605</v>
      </c>
    </row>
    <row r="41" spans="1:7" s="215" customFormat="1" x14ac:dyDescent="0.25">
      <c r="A41" s="239"/>
      <c r="B41" s="239" t="s">
        <v>312</v>
      </c>
      <c r="C41" s="241" t="s">
        <v>313</v>
      </c>
      <c r="D41" s="252">
        <v>20963137.079999998</v>
      </c>
      <c r="E41" s="253">
        <f>0.1658557257/3</f>
        <v>5.5285241900000004E-2</v>
      </c>
      <c r="F41" s="244">
        <v>43637</v>
      </c>
      <c r="G41" s="254">
        <v>43690</v>
      </c>
    </row>
    <row r="42" spans="1:7" s="216" customFormat="1" x14ac:dyDescent="0.25">
      <c r="A42" s="246"/>
      <c r="B42" s="246" t="s">
        <v>314</v>
      </c>
      <c r="C42" s="247" t="s">
        <v>315</v>
      </c>
      <c r="D42" s="248">
        <v>52129564.030000001</v>
      </c>
      <c r="E42" s="249">
        <f>0.4124376346/3</f>
        <v>0.13747921153333334</v>
      </c>
      <c r="F42" s="250">
        <v>43732</v>
      </c>
      <c r="G42" s="251">
        <v>43787</v>
      </c>
    </row>
    <row r="43" spans="1:7" s="215" customFormat="1" x14ac:dyDescent="0.25">
      <c r="A43" s="239"/>
      <c r="B43" s="239" t="s">
        <v>316</v>
      </c>
      <c r="C43" s="241" t="s">
        <v>317</v>
      </c>
      <c r="D43" s="252">
        <v>84506107.010000005</v>
      </c>
      <c r="E43" s="253">
        <f>0.6685937152302/3</f>
        <v>0.22286457174339999</v>
      </c>
      <c r="F43" s="244">
        <v>43915</v>
      </c>
      <c r="G43" s="245">
        <v>44008</v>
      </c>
    </row>
    <row r="44" spans="1:7" s="214" customFormat="1" ht="24" x14ac:dyDescent="0.25">
      <c r="A44" s="226" t="s">
        <v>318</v>
      </c>
      <c r="B44" s="227"/>
      <c r="C44" s="228"/>
      <c r="D44" s="229">
        <f>SUM(D40:D43)</f>
        <v>210586927.51999998</v>
      </c>
      <c r="E44" s="230">
        <f>SUM(E40:E43)</f>
        <v>0.55537247041006665</v>
      </c>
      <c r="F44" s="231" t="s">
        <v>0</v>
      </c>
      <c r="G44" s="226" t="s">
        <v>0</v>
      </c>
    </row>
    <row r="45" spans="1:7" s="218" customFormat="1" ht="14.25" x14ac:dyDescent="0.25">
      <c r="A45" s="256"/>
      <c r="B45" s="256"/>
      <c r="C45" s="241"/>
      <c r="D45" s="257"/>
      <c r="E45" s="258"/>
      <c r="F45" s="259"/>
      <c r="G45" s="260"/>
    </row>
    <row r="46" spans="1:7" s="214" customFormat="1" ht="12" x14ac:dyDescent="0.25">
      <c r="A46" s="226" t="s">
        <v>319</v>
      </c>
      <c r="B46" s="227"/>
      <c r="C46" s="228"/>
      <c r="D46" s="229"/>
      <c r="E46" s="230"/>
      <c r="F46" s="231"/>
      <c r="G46" s="226"/>
    </row>
    <row r="47" spans="1:7" s="219" customFormat="1" ht="12" x14ac:dyDescent="0.25">
      <c r="A47" s="246"/>
      <c r="B47" s="246" t="s">
        <v>320</v>
      </c>
      <c r="C47" s="247" t="s">
        <v>321</v>
      </c>
      <c r="D47" s="248">
        <v>76726828.959999993</v>
      </c>
      <c r="E47" s="249">
        <f>0.6070457799/3</f>
        <v>0.20234859329999999</v>
      </c>
      <c r="F47" s="250">
        <v>43185</v>
      </c>
      <c r="G47" s="251">
        <v>43196</v>
      </c>
    </row>
    <row r="48" spans="1:7" s="213" customFormat="1" ht="24" x14ac:dyDescent="0.25">
      <c r="A48" s="240"/>
      <c r="B48" s="240" t="s">
        <v>322</v>
      </c>
      <c r="C48" s="241" t="s">
        <v>323</v>
      </c>
      <c r="D48" s="242">
        <v>280000000</v>
      </c>
      <c r="E48" s="243">
        <f>2.2152983599/3</f>
        <v>0.73843278663333323</v>
      </c>
      <c r="F48" s="255">
        <v>43227</v>
      </c>
      <c r="G48" s="245">
        <v>43237</v>
      </c>
    </row>
    <row r="49" spans="1:7" s="219" customFormat="1" ht="12" x14ac:dyDescent="0.25">
      <c r="A49" s="246"/>
      <c r="B49" s="246" t="s">
        <v>324</v>
      </c>
      <c r="C49" s="247" t="s">
        <v>321</v>
      </c>
      <c r="D49" s="248">
        <v>51382618.479999997</v>
      </c>
      <c r="E49" s="249">
        <f>0.4065279659/3</f>
        <v>0.13550932196666668</v>
      </c>
      <c r="F49" s="250">
        <v>43276</v>
      </c>
      <c r="G49" s="251">
        <v>43329</v>
      </c>
    </row>
    <row r="50" spans="1:7" s="213" customFormat="1" ht="12" x14ac:dyDescent="0.25">
      <c r="A50" s="240"/>
      <c r="B50" s="240" t="s">
        <v>325</v>
      </c>
      <c r="C50" s="241" t="s">
        <v>321</v>
      </c>
      <c r="D50" s="242">
        <v>54541843.939999998</v>
      </c>
      <c r="E50" s="243">
        <f>0.4315230622/3</f>
        <v>0.14384102073333332</v>
      </c>
      <c r="F50" s="255">
        <v>43367</v>
      </c>
      <c r="G50" s="245">
        <v>43420</v>
      </c>
    </row>
    <row r="51" spans="1:7" s="214" customFormat="1" ht="12" x14ac:dyDescent="0.25">
      <c r="A51" s="246"/>
      <c r="B51" s="246" t="s">
        <v>326</v>
      </c>
      <c r="C51" s="247" t="s">
        <v>321</v>
      </c>
      <c r="D51" s="248">
        <v>92231328.840000004</v>
      </c>
      <c r="E51" s="249">
        <f>0.7297139697/3</f>
        <v>0.24323798990000001</v>
      </c>
      <c r="F51" s="250">
        <v>43532</v>
      </c>
      <c r="G51" s="251">
        <v>43626</v>
      </c>
    </row>
    <row r="52" spans="1:7" s="217" customFormat="1" ht="24" x14ac:dyDescent="0.25">
      <c r="A52" s="226" t="s">
        <v>327</v>
      </c>
      <c r="B52" s="227"/>
      <c r="C52" s="228"/>
      <c r="D52" s="229">
        <v>554882620.22000003</v>
      </c>
      <c r="E52" s="230">
        <f>SUM(E47:E51)</f>
        <v>1.4633697125333334</v>
      </c>
      <c r="F52" s="231" t="s">
        <v>0</v>
      </c>
      <c r="G52" s="226" t="s">
        <v>0</v>
      </c>
    </row>
    <row r="53" spans="1:7" s="214" customFormat="1" ht="12" x14ac:dyDescent="0.25">
      <c r="A53" s="256"/>
      <c r="B53" s="256"/>
      <c r="C53" s="241"/>
      <c r="D53" s="257"/>
      <c r="E53" s="258"/>
      <c r="F53" s="259"/>
      <c r="G53" s="260"/>
    </row>
    <row r="54" spans="1:7" s="216" customFormat="1" x14ac:dyDescent="0.25">
      <c r="A54" s="226" t="s">
        <v>328</v>
      </c>
      <c r="B54" s="227"/>
      <c r="C54" s="228"/>
      <c r="D54" s="229"/>
      <c r="E54" s="230"/>
      <c r="F54" s="231"/>
      <c r="G54" s="226"/>
    </row>
    <row r="55" spans="1:7" s="215" customFormat="1" x14ac:dyDescent="0.25">
      <c r="A55" s="246"/>
      <c r="B55" s="246" t="s">
        <v>329</v>
      </c>
      <c r="C55" s="247" t="s">
        <v>321</v>
      </c>
      <c r="D55" s="248">
        <v>31962594.32</v>
      </c>
      <c r="E55" s="249">
        <f>0.2528810099/3</f>
        <v>8.4293669966666665E-2</v>
      </c>
      <c r="F55" s="251">
        <v>42816</v>
      </c>
      <c r="G55" s="251">
        <v>42870</v>
      </c>
    </row>
    <row r="56" spans="1:7" s="216" customFormat="1" x14ac:dyDescent="0.25">
      <c r="A56" s="240"/>
      <c r="B56" s="240" t="s">
        <v>330</v>
      </c>
      <c r="C56" s="241" t="s">
        <v>321</v>
      </c>
      <c r="D56" s="242">
        <v>37262569.75</v>
      </c>
      <c r="E56" s="243">
        <f>0.2948132488/3</f>
        <v>9.8271082933333323E-2</v>
      </c>
      <c r="F56" s="245">
        <v>42907</v>
      </c>
      <c r="G56" s="245">
        <v>42944</v>
      </c>
    </row>
    <row r="57" spans="1:7" s="215" customFormat="1" x14ac:dyDescent="0.25">
      <c r="A57" s="246"/>
      <c r="B57" s="246" t="s">
        <v>331</v>
      </c>
      <c r="C57" s="247" t="s">
        <v>321</v>
      </c>
      <c r="D57" s="248">
        <v>38946092.299999997</v>
      </c>
      <c r="E57" s="249">
        <f>0.3081329086/3</f>
        <v>0.10271096953333332</v>
      </c>
      <c r="F57" s="251">
        <v>43000</v>
      </c>
      <c r="G57" s="251">
        <v>43031</v>
      </c>
    </row>
    <row r="58" spans="1:7" s="214" customFormat="1" ht="24" x14ac:dyDescent="0.25">
      <c r="A58" s="240"/>
      <c r="B58" s="240" t="s">
        <v>332</v>
      </c>
      <c r="C58" s="241" t="s">
        <v>323</v>
      </c>
      <c r="D58" s="242">
        <v>120000000</v>
      </c>
      <c r="E58" s="243">
        <f>0.9494135828/3</f>
        <v>0.31647119426666664</v>
      </c>
      <c r="F58" s="245">
        <v>43056</v>
      </c>
      <c r="G58" s="241" t="s">
        <v>333</v>
      </c>
    </row>
    <row r="59" spans="1:7" s="218" customFormat="1" ht="14.25" x14ac:dyDescent="0.25">
      <c r="A59" s="246"/>
      <c r="B59" s="246" t="s">
        <v>334</v>
      </c>
      <c r="C59" s="247" t="s">
        <v>321</v>
      </c>
      <c r="D59" s="248">
        <v>46072502.670000002</v>
      </c>
      <c r="E59" s="249">
        <f>0.3645154986/3</f>
        <v>0.1215051662</v>
      </c>
      <c r="F59" s="251">
        <v>43158</v>
      </c>
      <c r="G59" s="251">
        <v>43237</v>
      </c>
    </row>
    <row r="60" spans="1:7" s="214" customFormat="1" ht="24" x14ac:dyDescent="0.25">
      <c r="A60" s="226" t="s">
        <v>335</v>
      </c>
      <c r="B60" s="227"/>
      <c r="C60" s="228"/>
      <c r="D60" s="229">
        <v>274243759.04000002</v>
      </c>
      <c r="E60" s="230">
        <f>SUM(E55:E59)</f>
        <v>0.72325208289999998</v>
      </c>
      <c r="F60" s="231" t="s">
        <v>0</v>
      </c>
      <c r="G60" s="226" t="s">
        <v>0</v>
      </c>
    </row>
    <row r="61" spans="1:7" s="216" customFormat="1" x14ac:dyDescent="0.25">
      <c r="A61" s="256"/>
      <c r="B61" s="256"/>
      <c r="C61" s="241"/>
      <c r="D61" s="257"/>
      <c r="E61" s="258"/>
      <c r="F61" s="259"/>
      <c r="G61" s="260"/>
    </row>
    <row r="62" spans="1:7" s="215" customFormat="1" x14ac:dyDescent="0.25">
      <c r="A62" s="226" t="s">
        <v>336</v>
      </c>
      <c r="B62" s="227"/>
      <c r="C62" s="228"/>
      <c r="D62" s="229"/>
      <c r="E62" s="230"/>
      <c r="F62" s="231"/>
      <c r="G62" s="226"/>
    </row>
    <row r="63" spans="1:7" s="216" customFormat="1" x14ac:dyDescent="0.25">
      <c r="A63" s="240"/>
      <c r="B63" s="240" t="s">
        <v>337</v>
      </c>
      <c r="C63" s="241" t="s">
        <v>321</v>
      </c>
      <c r="D63" s="242">
        <v>24718586.239999998</v>
      </c>
      <c r="E63" s="243">
        <f>0.2071496061/3</f>
        <v>6.9049868700000003E-2</v>
      </c>
      <c r="F63" s="245">
        <v>42501</v>
      </c>
      <c r="G63" s="245">
        <v>42654</v>
      </c>
    </row>
    <row r="64" spans="1:7" s="215" customFormat="1" x14ac:dyDescent="0.25">
      <c r="A64" s="246"/>
      <c r="B64" s="246" t="s">
        <v>338</v>
      </c>
      <c r="C64" s="247" t="s">
        <v>321</v>
      </c>
      <c r="D64" s="248">
        <v>28404156.109999999</v>
      </c>
      <c r="E64" s="249">
        <f>0.2247274302/3</f>
        <v>7.4909143400000003E-2</v>
      </c>
      <c r="F64" s="251">
        <v>42604</v>
      </c>
      <c r="G64" s="251">
        <v>42654</v>
      </c>
    </row>
    <row r="65" spans="1:7" s="214" customFormat="1" ht="12" x14ac:dyDescent="0.25">
      <c r="A65" s="240"/>
      <c r="B65" s="240" t="s">
        <v>339</v>
      </c>
      <c r="C65" s="241" t="s">
        <v>321</v>
      </c>
      <c r="D65" s="242">
        <v>30287998.359999999</v>
      </c>
      <c r="E65" s="243">
        <f>0.2396319753/3</f>
        <v>7.9877325099999993E-2</v>
      </c>
      <c r="F65" s="245">
        <v>42690</v>
      </c>
      <c r="G65" s="245">
        <v>42741</v>
      </c>
    </row>
    <row r="66" spans="1:7" s="218" customFormat="1" ht="14.25" x14ac:dyDescent="0.25">
      <c r="A66" s="246"/>
      <c r="B66" s="246" t="s">
        <v>340</v>
      </c>
      <c r="C66" s="247" t="s">
        <v>321</v>
      </c>
      <c r="D66" s="248">
        <v>36464189.729999997</v>
      </c>
      <c r="E66" s="249">
        <f>0.2884966418/3</f>
        <v>9.6165547266666665E-2</v>
      </c>
      <c r="F66" s="251">
        <v>42810</v>
      </c>
      <c r="G66" s="251">
        <v>42895</v>
      </c>
    </row>
    <row r="67" spans="1:7" s="214" customFormat="1" ht="24" x14ac:dyDescent="0.25">
      <c r="A67" s="226" t="s">
        <v>341</v>
      </c>
      <c r="B67" s="227"/>
      <c r="C67" s="228"/>
      <c r="D67" s="229">
        <v>119874930.40000001</v>
      </c>
      <c r="E67" s="230">
        <f>SUM(E63:E66)</f>
        <v>0.32000188446666666</v>
      </c>
      <c r="F67" s="231" t="s">
        <v>0</v>
      </c>
      <c r="G67" s="226" t="s">
        <v>0</v>
      </c>
    </row>
    <row r="68" spans="1:7" s="215" customFormat="1" x14ac:dyDescent="0.25">
      <c r="A68" s="256"/>
      <c r="B68" s="256"/>
      <c r="C68" s="241"/>
      <c r="D68" s="257"/>
      <c r="E68" s="258"/>
      <c r="F68" s="259"/>
      <c r="G68" s="260"/>
    </row>
    <row r="69" spans="1:7" s="216" customFormat="1" x14ac:dyDescent="0.25">
      <c r="A69" s="226" t="s">
        <v>342</v>
      </c>
      <c r="B69" s="227"/>
      <c r="C69" s="228"/>
      <c r="D69" s="229"/>
      <c r="E69" s="230"/>
      <c r="F69" s="231"/>
      <c r="G69" s="226"/>
    </row>
    <row r="70" spans="1:7" s="215" customFormat="1" x14ac:dyDescent="0.25">
      <c r="A70" s="246"/>
      <c r="B70" s="246" t="s">
        <v>343</v>
      </c>
      <c r="C70" s="247" t="s">
        <v>321</v>
      </c>
      <c r="D70" s="248">
        <v>4596149.7699999996</v>
      </c>
      <c r="E70" s="249">
        <f>0.0385171957/3</f>
        <v>1.2839065233333334E-2</v>
      </c>
      <c r="F70" s="251">
        <v>42135</v>
      </c>
      <c r="G70" s="251">
        <v>42521</v>
      </c>
    </row>
    <row r="71" spans="1:7" s="216" customFormat="1" x14ac:dyDescent="0.25">
      <c r="A71" s="240"/>
      <c r="B71" s="240" t="s">
        <v>344</v>
      </c>
      <c r="C71" s="241" t="s">
        <v>321</v>
      </c>
      <c r="D71" s="242">
        <v>1058142.05</v>
      </c>
      <c r="E71" s="243">
        <f>0.0088675667/3</f>
        <v>2.9558555666666666E-3</v>
      </c>
      <c r="F71" s="245">
        <v>42227</v>
      </c>
      <c r="G71" s="245">
        <v>42521</v>
      </c>
    </row>
    <row r="72" spans="1:7" s="214" customFormat="1" ht="12" x14ac:dyDescent="0.25">
      <c r="A72" s="246"/>
      <c r="B72" s="246" t="s">
        <v>345</v>
      </c>
      <c r="C72" s="247" t="s">
        <v>321</v>
      </c>
      <c r="D72" s="248">
        <v>2497246.9</v>
      </c>
      <c r="E72" s="249">
        <f>0.0209277226/3</f>
        <v>6.9759075333333332E-3</v>
      </c>
      <c r="F72" s="251">
        <v>42319</v>
      </c>
      <c r="G72" s="251">
        <v>42521</v>
      </c>
    </row>
    <row r="73" spans="1:7" s="217" customFormat="1" ht="24" x14ac:dyDescent="0.25">
      <c r="A73" s="226" t="s">
        <v>346</v>
      </c>
      <c r="B73" s="227"/>
      <c r="C73" s="228"/>
      <c r="D73" s="229">
        <v>8151538.7199999997</v>
      </c>
      <c r="E73" s="230">
        <f>SUM(E70:E72)</f>
        <v>2.2770828333333333E-2</v>
      </c>
      <c r="F73" s="231" t="s">
        <v>0</v>
      </c>
      <c r="G73" s="226"/>
    </row>
    <row r="74" spans="1:7" s="214" customFormat="1" ht="12" x14ac:dyDescent="0.25">
      <c r="A74" s="256"/>
      <c r="B74" s="256"/>
      <c r="C74" s="241"/>
      <c r="D74" s="257"/>
      <c r="E74" s="258"/>
      <c r="F74" s="259"/>
      <c r="G74" s="260"/>
    </row>
    <row r="75" spans="1:7" s="216" customFormat="1" x14ac:dyDescent="0.25">
      <c r="A75" s="226" t="s">
        <v>347</v>
      </c>
      <c r="B75" s="227"/>
      <c r="C75" s="228"/>
      <c r="D75" s="229"/>
      <c r="E75" s="230"/>
      <c r="F75" s="231"/>
      <c r="G75" s="226"/>
    </row>
    <row r="76" spans="1:7" s="215" customFormat="1" x14ac:dyDescent="0.25">
      <c r="A76" s="240"/>
      <c r="B76" s="240" t="s">
        <v>348</v>
      </c>
      <c r="C76" s="241" t="s">
        <v>321</v>
      </c>
      <c r="D76" s="242">
        <v>34757067.57</v>
      </c>
      <c r="E76" s="243">
        <f>0.2912752718/3</f>
        <v>9.7091757266666676E-2</v>
      </c>
      <c r="F76" s="245">
        <v>41722</v>
      </c>
      <c r="G76" s="245">
        <v>41779</v>
      </c>
    </row>
    <row r="77" spans="1:7" s="216" customFormat="1" x14ac:dyDescent="0.25">
      <c r="A77" s="246"/>
      <c r="B77" s="246" t="s">
        <v>349</v>
      </c>
      <c r="C77" s="247" t="s">
        <v>321</v>
      </c>
      <c r="D77" s="248">
        <v>33380184.699999999</v>
      </c>
      <c r="E77" s="249">
        <f>0.2797365558/3</f>
        <v>9.3245518600000007E-2</v>
      </c>
      <c r="F77" s="251">
        <v>41814</v>
      </c>
      <c r="G77" s="251">
        <v>41873</v>
      </c>
    </row>
    <row r="78" spans="1:7" s="215" customFormat="1" x14ac:dyDescent="0.25">
      <c r="A78" s="240"/>
      <c r="B78" s="240" t="s">
        <v>350</v>
      </c>
      <c r="C78" s="241" t="s">
        <v>321</v>
      </c>
      <c r="D78" s="242">
        <v>32751060.789999999</v>
      </c>
      <c r="E78" s="243">
        <f>0.2744642975/3</f>
        <v>9.148809916666667E-2</v>
      </c>
      <c r="F78" s="245">
        <v>41904</v>
      </c>
      <c r="G78" s="245">
        <v>41961</v>
      </c>
    </row>
    <row r="79" spans="1:7" s="214" customFormat="1" ht="12" x14ac:dyDescent="0.25">
      <c r="A79" s="246"/>
      <c r="B79" s="246" t="s">
        <v>351</v>
      </c>
      <c r="C79" s="247" t="s">
        <v>321</v>
      </c>
      <c r="D79" s="248">
        <v>2452073.94</v>
      </c>
      <c r="E79" s="249">
        <f>0.0205491589/3</f>
        <v>6.8497196333333335E-3</v>
      </c>
      <c r="F79" s="251">
        <v>42087</v>
      </c>
      <c r="G79" s="251">
        <v>42181</v>
      </c>
    </row>
    <row r="80" spans="1:7" s="218" customFormat="1" ht="24" x14ac:dyDescent="0.25">
      <c r="A80" s="226" t="s">
        <v>352</v>
      </c>
      <c r="B80" s="227"/>
      <c r="C80" s="228"/>
      <c r="D80" s="229">
        <v>103340387</v>
      </c>
      <c r="E80" s="230">
        <f>SUM(E76:E79)</f>
        <v>0.28867509466666669</v>
      </c>
      <c r="F80" s="231" t="s">
        <v>0</v>
      </c>
      <c r="G80" s="226" t="s">
        <v>0</v>
      </c>
    </row>
    <row r="81" spans="1:7" s="214" customFormat="1" ht="12" x14ac:dyDescent="0.25">
      <c r="A81" s="256"/>
      <c r="B81" s="256"/>
      <c r="C81" s="241"/>
      <c r="D81" s="257"/>
      <c r="E81" s="258"/>
      <c r="F81" s="259"/>
      <c r="G81" s="260"/>
    </row>
    <row r="82" spans="1:7" s="215" customFormat="1" x14ac:dyDescent="0.25">
      <c r="A82" s="226" t="s">
        <v>353</v>
      </c>
      <c r="B82" s="227"/>
      <c r="C82" s="228"/>
      <c r="D82" s="229"/>
      <c r="E82" s="230"/>
      <c r="F82" s="231"/>
      <c r="G82" s="226"/>
    </row>
    <row r="83" spans="1:7" s="216" customFormat="1" x14ac:dyDescent="0.25">
      <c r="A83" s="246"/>
      <c r="B83" s="246" t="s">
        <v>354</v>
      </c>
      <c r="C83" s="247" t="s">
        <v>321</v>
      </c>
      <c r="D83" s="248">
        <v>38053616.810000002</v>
      </c>
      <c r="E83" s="249">
        <f>0.3189014021/3</f>
        <v>0.10630046736666666</v>
      </c>
      <c r="F83" s="251">
        <v>41354</v>
      </c>
      <c r="G83" s="251">
        <v>41411</v>
      </c>
    </row>
    <row r="84" spans="1:7" s="215" customFormat="1" x14ac:dyDescent="0.25">
      <c r="A84" s="240"/>
      <c r="B84" s="240" t="s">
        <v>355</v>
      </c>
      <c r="C84" s="241" t="s">
        <v>321</v>
      </c>
      <c r="D84" s="242">
        <v>36385686.450000003</v>
      </c>
      <c r="E84" s="243">
        <f>0.3049236156/3</f>
        <v>0.10164120519999999</v>
      </c>
      <c r="F84" s="245">
        <v>41450</v>
      </c>
      <c r="G84" s="245">
        <v>41509</v>
      </c>
    </row>
    <row r="85" spans="1:7" s="214" customFormat="1" ht="12" x14ac:dyDescent="0.25">
      <c r="A85" s="246"/>
      <c r="B85" s="246" t="s">
        <v>356</v>
      </c>
      <c r="C85" s="247" t="s">
        <v>321</v>
      </c>
      <c r="D85" s="248">
        <v>31062654.079999998</v>
      </c>
      <c r="E85" s="249">
        <f>0.26031491273/3</f>
        <v>8.6771637576666671E-2</v>
      </c>
      <c r="F85" s="251">
        <v>41541</v>
      </c>
      <c r="G85" s="251">
        <v>41597</v>
      </c>
    </row>
    <row r="86" spans="1:7" s="218" customFormat="1" ht="14.25" x14ac:dyDescent="0.25">
      <c r="A86" s="240"/>
      <c r="B86" s="240" t="s">
        <v>357</v>
      </c>
      <c r="C86" s="241" t="s">
        <v>321</v>
      </c>
      <c r="D86" s="242">
        <v>34079814.560000002</v>
      </c>
      <c r="E86" s="243">
        <f>0.2855996764/3</f>
        <v>9.5199892133333339E-2</v>
      </c>
      <c r="F86" s="245">
        <v>41673</v>
      </c>
      <c r="G86" s="245">
        <v>41732</v>
      </c>
    </row>
    <row r="87" spans="1:7" s="214" customFormat="1" ht="24" x14ac:dyDescent="0.25">
      <c r="A87" s="226" t="s">
        <v>358</v>
      </c>
      <c r="B87" s="227"/>
      <c r="C87" s="228"/>
      <c r="D87" s="229">
        <v>139581771.90000001</v>
      </c>
      <c r="E87" s="230">
        <f>SUM(E83:E86)</f>
        <v>0.3899132022766667</v>
      </c>
      <c r="F87" s="231" t="s">
        <v>0</v>
      </c>
      <c r="G87" s="226" t="s">
        <v>0</v>
      </c>
    </row>
    <row r="88" spans="1:7" s="216" customFormat="1" x14ac:dyDescent="0.25">
      <c r="A88" s="261"/>
      <c r="B88" s="261"/>
      <c r="C88" s="247"/>
      <c r="D88" s="262"/>
      <c r="E88" s="263"/>
      <c r="F88" s="264"/>
      <c r="G88" s="265"/>
    </row>
    <row r="89" spans="1:7" s="215" customFormat="1" x14ac:dyDescent="0.25">
      <c r="A89" s="226" t="s">
        <v>359</v>
      </c>
      <c r="B89" s="227"/>
      <c r="C89" s="228"/>
      <c r="D89" s="229"/>
      <c r="E89" s="230"/>
      <c r="F89" s="231"/>
      <c r="G89" s="226"/>
    </row>
    <row r="90" spans="1:7" s="216" customFormat="1" x14ac:dyDescent="0.25">
      <c r="A90" s="240"/>
      <c r="B90" s="240" t="s">
        <v>360</v>
      </c>
      <c r="C90" s="241" t="s">
        <v>321</v>
      </c>
      <c r="D90" s="242">
        <v>37754696.840000004</v>
      </c>
      <c r="E90" s="243">
        <f>0.3285/3</f>
        <v>0.1095</v>
      </c>
      <c r="F90" s="245">
        <v>40989</v>
      </c>
      <c r="G90" s="245">
        <v>41044</v>
      </c>
    </row>
    <row r="91" spans="1:7" s="215" customFormat="1" x14ac:dyDescent="0.25">
      <c r="A91" s="246"/>
      <c r="B91" s="246" t="s">
        <v>361</v>
      </c>
      <c r="C91" s="247" t="s">
        <v>321</v>
      </c>
      <c r="D91" s="248">
        <v>37217368.82</v>
      </c>
      <c r="E91" s="249">
        <f>0.3096269313/3</f>
        <v>0.1032089771</v>
      </c>
      <c r="F91" s="251">
        <v>41081</v>
      </c>
      <c r="G91" s="251">
        <v>41138</v>
      </c>
    </row>
    <row r="92" spans="1:7" s="214" customFormat="1" ht="12" x14ac:dyDescent="0.25">
      <c r="A92" s="240"/>
      <c r="B92" s="240" t="s">
        <v>362</v>
      </c>
      <c r="C92" s="241" t="s">
        <v>321</v>
      </c>
      <c r="D92" s="242">
        <v>37944143.670000002</v>
      </c>
      <c r="E92" s="243">
        <f>0.322928628/3</f>
        <v>0.107642876</v>
      </c>
      <c r="F92" s="245">
        <v>41173</v>
      </c>
      <c r="G92" s="245">
        <v>41226</v>
      </c>
    </row>
    <row r="93" spans="1:7" s="218" customFormat="1" ht="14.25" x14ac:dyDescent="0.25">
      <c r="A93" s="246"/>
      <c r="B93" s="246" t="s">
        <v>363</v>
      </c>
      <c r="C93" s="247" t="s">
        <v>321</v>
      </c>
      <c r="D93" s="248">
        <v>46464507.490000002</v>
      </c>
      <c r="E93" s="249">
        <f>0.395440284/3</f>
        <v>0.13181342799999998</v>
      </c>
      <c r="F93" s="251">
        <v>41334</v>
      </c>
      <c r="G93" s="251">
        <v>41390</v>
      </c>
    </row>
    <row r="94" spans="1:7" s="214" customFormat="1" ht="24" x14ac:dyDescent="0.25">
      <c r="A94" s="226" t="s">
        <v>364</v>
      </c>
      <c r="B94" s="227"/>
      <c r="C94" s="228"/>
      <c r="D94" s="229">
        <v>159380716.81999999</v>
      </c>
      <c r="E94" s="230">
        <f>SUM(E90:E93)</f>
        <v>0.45216528109999998</v>
      </c>
      <c r="F94" s="231" t="s">
        <v>0</v>
      </c>
      <c r="G94" s="226" t="s">
        <v>0</v>
      </c>
    </row>
    <row r="95" spans="1:7" s="215" customFormat="1" x14ac:dyDescent="0.25">
      <c r="A95" s="256"/>
      <c r="B95" s="256"/>
      <c r="C95" s="241"/>
      <c r="D95" s="257"/>
      <c r="E95" s="258"/>
      <c r="F95" s="259"/>
      <c r="G95" s="260"/>
    </row>
    <row r="96" spans="1:7" s="232" customFormat="1" x14ac:dyDescent="0.25">
      <c r="A96" s="226" t="s">
        <v>365</v>
      </c>
      <c r="B96" s="227"/>
      <c r="C96" s="228"/>
      <c r="D96" s="229"/>
      <c r="E96" s="230"/>
      <c r="F96" s="231"/>
      <c r="G96" s="226"/>
    </row>
    <row r="97" spans="1:7" s="215" customFormat="1" x14ac:dyDescent="0.25">
      <c r="A97" s="240"/>
      <c r="B97" s="240" t="s">
        <v>366</v>
      </c>
      <c r="C97" s="241" t="s">
        <v>321</v>
      </c>
      <c r="D97" s="242">
        <v>39420759.5</v>
      </c>
      <c r="E97" s="243">
        <f>0.343/3</f>
        <v>0.11433333333333334</v>
      </c>
      <c r="F97" s="245">
        <v>40633</v>
      </c>
      <c r="G97" s="241" t="s">
        <v>367</v>
      </c>
    </row>
    <row r="98" spans="1:7" s="216" customFormat="1" x14ac:dyDescent="0.25">
      <c r="A98" s="246"/>
      <c r="B98" s="246" t="s">
        <v>368</v>
      </c>
      <c r="C98" s="247" t="s">
        <v>321</v>
      </c>
      <c r="D98" s="248">
        <v>41374558.079999998</v>
      </c>
      <c r="E98" s="249">
        <f>0.36/3</f>
        <v>0.12</v>
      </c>
      <c r="F98" s="251">
        <v>40730</v>
      </c>
      <c r="G98" s="251">
        <v>40781</v>
      </c>
    </row>
    <row r="99" spans="1:7" s="215" customFormat="1" x14ac:dyDescent="0.25">
      <c r="A99" s="240"/>
      <c r="B99" s="240" t="s">
        <v>369</v>
      </c>
      <c r="C99" s="241" t="s">
        <v>321</v>
      </c>
      <c r="D99" s="242">
        <v>42523851.359999999</v>
      </c>
      <c r="E99" s="243">
        <f>0.37/3</f>
        <v>0.12333333333333334</v>
      </c>
      <c r="F99" s="245">
        <v>40807</v>
      </c>
      <c r="G99" s="245">
        <v>40861</v>
      </c>
    </row>
    <row r="100" spans="1:7" s="214" customFormat="1" ht="12" x14ac:dyDescent="0.25">
      <c r="A100" s="246"/>
      <c r="B100" s="246" t="s">
        <v>370</v>
      </c>
      <c r="C100" s="247" t="s">
        <v>321</v>
      </c>
      <c r="D100" s="248">
        <v>29808001.100000001</v>
      </c>
      <c r="E100" s="249">
        <f>0.2593581827/3</f>
        <v>8.6452727566666665E-2</v>
      </c>
      <c r="F100" s="251">
        <v>40981</v>
      </c>
      <c r="G100" s="251">
        <v>41026</v>
      </c>
    </row>
    <row r="101" spans="1:7" s="218" customFormat="1" ht="24" x14ac:dyDescent="0.25">
      <c r="A101" s="226" t="s">
        <v>371</v>
      </c>
      <c r="B101" s="227"/>
      <c r="C101" s="228"/>
      <c r="D101" s="229">
        <v>153127170.03999999</v>
      </c>
      <c r="E101" s="230">
        <f>SUM(E97:E100)</f>
        <v>0.44411939423333335</v>
      </c>
      <c r="F101" s="231" t="s">
        <v>0</v>
      </c>
      <c r="G101" s="226" t="s">
        <v>0</v>
      </c>
    </row>
    <row r="102" spans="1:7" s="214" customFormat="1" ht="12" x14ac:dyDescent="0.25">
      <c r="A102" s="256"/>
      <c r="B102" s="256"/>
      <c r="C102" s="241"/>
      <c r="D102" s="257"/>
      <c r="E102" s="258"/>
      <c r="F102" s="259"/>
      <c r="G102" s="260"/>
    </row>
    <row r="103" spans="1:7" s="215" customFormat="1" x14ac:dyDescent="0.25">
      <c r="A103" s="226" t="s">
        <v>372</v>
      </c>
      <c r="B103" s="227"/>
      <c r="C103" s="228"/>
      <c r="D103" s="229"/>
      <c r="E103" s="230"/>
      <c r="F103" s="231"/>
      <c r="G103" s="226"/>
    </row>
    <row r="104" spans="1:7" s="216" customFormat="1" x14ac:dyDescent="0.25">
      <c r="A104" s="246"/>
      <c r="B104" s="246" t="s">
        <v>373</v>
      </c>
      <c r="C104" s="247" t="s">
        <v>321</v>
      </c>
      <c r="D104" s="248">
        <v>43673144.640000001</v>
      </c>
      <c r="E104" s="249">
        <f>0.38/3</f>
        <v>0.12666666666666668</v>
      </c>
      <c r="F104" s="251">
        <v>40268</v>
      </c>
      <c r="G104" s="251">
        <v>40323</v>
      </c>
    </row>
    <row r="105" spans="1:7" s="215" customFormat="1" x14ac:dyDescent="0.25">
      <c r="A105" s="240"/>
      <c r="B105" s="240" t="s">
        <v>374</v>
      </c>
      <c r="C105" s="241" t="s">
        <v>321</v>
      </c>
      <c r="D105" s="242">
        <v>56740609.240000002</v>
      </c>
      <c r="E105" s="243">
        <f>0.4937/3</f>
        <v>0.16456666666666667</v>
      </c>
      <c r="F105" s="245">
        <v>40359</v>
      </c>
      <c r="G105" s="245">
        <v>40414</v>
      </c>
    </row>
    <row r="106" spans="1:7" s="216" customFormat="1" x14ac:dyDescent="0.25">
      <c r="A106" s="246"/>
      <c r="B106" s="246" t="s">
        <v>375</v>
      </c>
      <c r="C106" s="247" t="s">
        <v>321</v>
      </c>
      <c r="D106" s="248">
        <v>56935989.090000004</v>
      </c>
      <c r="E106" s="249">
        <f>0.4954/3</f>
        <v>0.16513333333333333</v>
      </c>
      <c r="F106" s="251">
        <v>40451</v>
      </c>
      <c r="G106" s="251">
        <v>40511</v>
      </c>
    </row>
    <row r="107" spans="1:7" s="215" customFormat="1" x14ac:dyDescent="0.25">
      <c r="A107" s="240"/>
      <c r="B107" s="240" t="s">
        <v>376</v>
      </c>
      <c r="C107" s="241" t="s">
        <v>321</v>
      </c>
      <c r="D107" s="242">
        <v>66863015.170000002</v>
      </c>
      <c r="E107" s="243">
        <f>0.58177504675/3</f>
        <v>0.19392501558333333</v>
      </c>
      <c r="F107" s="245">
        <v>40620</v>
      </c>
      <c r="G107" s="245">
        <v>40662</v>
      </c>
    </row>
    <row r="108" spans="1:7" s="214" customFormat="1" ht="24" x14ac:dyDescent="0.25">
      <c r="A108" s="226" t="s">
        <v>377</v>
      </c>
      <c r="B108" s="227"/>
      <c r="C108" s="228"/>
      <c r="D108" s="229">
        <v>224212758.13999999</v>
      </c>
      <c r="E108" s="230">
        <f>SUM(E104:E107)</f>
        <v>0.65029168225</v>
      </c>
      <c r="F108" s="231" t="s">
        <v>0</v>
      </c>
      <c r="G108" s="226" t="s">
        <v>0</v>
      </c>
    </row>
    <row r="109" spans="1:7" s="218" customFormat="1" ht="14.25" x14ac:dyDescent="0.25">
      <c r="A109" s="261"/>
      <c r="B109" s="261"/>
      <c r="C109" s="247"/>
      <c r="D109" s="262"/>
      <c r="E109" s="263"/>
      <c r="F109" s="264"/>
      <c r="G109" s="265"/>
    </row>
    <row r="110" spans="1:7" s="214" customFormat="1" ht="13.5" x14ac:dyDescent="0.25">
      <c r="A110" s="226" t="s">
        <v>378</v>
      </c>
      <c r="B110" s="227"/>
      <c r="C110" s="228"/>
      <c r="D110" s="229"/>
      <c r="E110" s="230"/>
      <c r="F110" s="231"/>
      <c r="G110" s="226"/>
    </row>
    <row r="111" spans="1:7" s="219" customFormat="1" ht="12" x14ac:dyDescent="0.25">
      <c r="A111" s="240"/>
      <c r="B111" s="240" t="s">
        <v>379</v>
      </c>
      <c r="C111" s="241" t="s">
        <v>321</v>
      </c>
      <c r="D111" s="242">
        <v>37228630.289999999</v>
      </c>
      <c r="E111" s="243">
        <f>0.32424988273/3</f>
        <v>0.10808329424333334</v>
      </c>
      <c r="F111" s="245">
        <v>39903</v>
      </c>
      <c r="G111" s="245">
        <v>39959</v>
      </c>
    </row>
    <row r="112" spans="1:7" s="213" customFormat="1" ht="12" x14ac:dyDescent="0.25">
      <c r="A112" s="246"/>
      <c r="B112" s="246" t="s">
        <v>380</v>
      </c>
      <c r="C112" s="247" t="s">
        <v>321</v>
      </c>
      <c r="D112" s="248">
        <v>43651831.799999997</v>
      </c>
      <c r="E112" s="249">
        <f>0.38/3</f>
        <v>0.12666666666666668</v>
      </c>
      <c r="F112" s="251">
        <v>39994</v>
      </c>
      <c r="G112" s="251">
        <v>40045</v>
      </c>
    </row>
    <row r="113" spans="1:7" s="213" customFormat="1" ht="12" x14ac:dyDescent="0.25">
      <c r="A113" s="240"/>
      <c r="B113" s="240" t="s">
        <v>381</v>
      </c>
      <c r="C113" s="241" t="s">
        <v>321</v>
      </c>
      <c r="D113" s="242">
        <v>37910556.600000001</v>
      </c>
      <c r="E113" s="243">
        <f>0.33/3</f>
        <v>0.11</v>
      </c>
      <c r="F113" s="245">
        <v>40086</v>
      </c>
      <c r="G113" s="245">
        <v>40141</v>
      </c>
    </row>
    <row r="114" spans="1:7" s="213" customFormat="1" ht="12" x14ac:dyDescent="0.25">
      <c r="A114" s="246"/>
      <c r="B114" s="246" t="s">
        <v>373</v>
      </c>
      <c r="C114" s="247" t="s">
        <v>321</v>
      </c>
      <c r="D114" s="248">
        <v>53595887.369999997</v>
      </c>
      <c r="E114" s="249">
        <f>0.46653393/3</f>
        <v>0.15551130999999999</v>
      </c>
      <c r="F114" s="251">
        <v>40268</v>
      </c>
      <c r="G114" s="251">
        <v>40297</v>
      </c>
    </row>
    <row r="115" spans="1:7" s="213" customFormat="1" ht="24" x14ac:dyDescent="0.25">
      <c r="A115" s="226" t="s">
        <v>382</v>
      </c>
      <c r="B115" s="227"/>
      <c r="C115" s="228"/>
      <c r="D115" s="229">
        <v>172386906.06</v>
      </c>
      <c r="E115" s="230">
        <f>SUM(E111:E114)</f>
        <v>0.50026127090999994</v>
      </c>
      <c r="F115" s="231" t="s">
        <v>0</v>
      </c>
      <c r="G115" s="226" t="s">
        <v>0</v>
      </c>
    </row>
    <row r="116" spans="1:7" s="213" customFormat="1" ht="12" x14ac:dyDescent="0.25">
      <c r="A116" s="256"/>
      <c r="B116" s="256"/>
      <c r="C116" s="241"/>
      <c r="D116" s="257"/>
      <c r="E116" s="258"/>
      <c r="F116" s="259"/>
      <c r="G116" s="260"/>
    </row>
    <row r="117" spans="1:7" s="213" customFormat="1" ht="13.5" x14ac:dyDescent="0.25">
      <c r="A117" s="226" t="s">
        <v>383</v>
      </c>
      <c r="B117" s="227"/>
      <c r="C117" s="228"/>
      <c r="D117" s="229"/>
      <c r="E117" s="230"/>
      <c r="F117" s="231"/>
      <c r="G117" s="226"/>
    </row>
    <row r="118" spans="1:7" s="213" customFormat="1" ht="12" customHeight="1" x14ac:dyDescent="0.25">
      <c r="A118" s="240"/>
      <c r="B118" s="240" t="s">
        <v>384</v>
      </c>
      <c r="C118" s="241" t="s">
        <v>321</v>
      </c>
      <c r="D118" s="242">
        <v>51657647.399999999</v>
      </c>
      <c r="E118" s="243">
        <f>0.45/3</f>
        <v>0.15</v>
      </c>
      <c r="F118" s="245">
        <v>39664</v>
      </c>
      <c r="G118" s="245">
        <v>39933</v>
      </c>
    </row>
    <row r="119" spans="1:7" s="213" customFormat="1" ht="12" customHeight="1" x14ac:dyDescent="0.25">
      <c r="A119" s="246"/>
      <c r="B119" s="246" t="s">
        <v>385</v>
      </c>
      <c r="C119" s="247" t="s">
        <v>321</v>
      </c>
      <c r="D119" s="248">
        <v>25255353.68</v>
      </c>
      <c r="E119" s="249">
        <f>0.220003496/3</f>
        <v>7.3334498666666664E-2</v>
      </c>
      <c r="F119" s="251">
        <v>39717</v>
      </c>
      <c r="G119" s="251">
        <v>39933</v>
      </c>
    </row>
    <row r="120" spans="1:7" s="215" customFormat="1" ht="12" customHeight="1" x14ac:dyDescent="0.25">
      <c r="A120" s="240"/>
      <c r="B120" s="240" t="s">
        <v>379</v>
      </c>
      <c r="C120" s="241" t="s">
        <v>321</v>
      </c>
      <c r="D120" s="242">
        <v>38948107.210000001</v>
      </c>
      <c r="E120" s="243">
        <f>0.33928330055/3</f>
        <v>0.11309443351666666</v>
      </c>
      <c r="F120" s="245">
        <v>39903</v>
      </c>
      <c r="G120" s="245">
        <v>39933</v>
      </c>
    </row>
    <row r="121" spans="1:7" s="215" customFormat="1" ht="24" x14ac:dyDescent="0.25">
      <c r="A121" s="226" t="s">
        <v>386</v>
      </c>
      <c r="B121" s="227"/>
      <c r="C121" s="228"/>
      <c r="D121" s="229">
        <v>115861108.29000001</v>
      </c>
      <c r="E121" s="230">
        <f>SUM(E118:E120)</f>
        <v>0.33642893218333331</v>
      </c>
      <c r="F121" s="231" t="s">
        <v>0</v>
      </c>
      <c r="G121" s="226" t="s">
        <v>0</v>
      </c>
    </row>
    <row r="122" spans="1:7" s="215" customFormat="1" x14ac:dyDescent="0.25">
      <c r="A122" s="265"/>
      <c r="B122" s="261"/>
      <c r="C122" s="247"/>
      <c r="D122" s="262"/>
      <c r="E122" s="263"/>
      <c r="F122" s="264"/>
      <c r="G122" s="265"/>
    </row>
    <row r="123" spans="1:7" s="215" customFormat="1" x14ac:dyDescent="0.25">
      <c r="A123" s="226" t="s">
        <v>387</v>
      </c>
      <c r="B123" s="227"/>
      <c r="C123" s="228"/>
      <c r="D123" s="229"/>
      <c r="E123" s="230"/>
      <c r="F123" s="231"/>
      <c r="G123" s="226"/>
    </row>
    <row r="124" spans="1:7" s="215" customFormat="1" x14ac:dyDescent="0.25">
      <c r="A124" s="240"/>
      <c r="B124" s="240" t="s">
        <v>388</v>
      </c>
      <c r="C124" s="241" t="s">
        <v>321</v>
      </c>
      <c r="D124" s="242">
        <v>20663058.960000001</v>
      </c>
      <c r="E124" s="243">
        <f>0.18/3</f>
        <v>0.06</v>
      </c>
      <c r="F124" s="245">
        <v>39244</v>
      </c>
      <c r="G124" s="245">
        <v>39577</v>
      </c>
    </row>
    <row r="125" spans="1:7" s="215" customFormat="1" x14ac:dyDescent="0.25">
      <c r="A125" s="246"/>
      <c r="B125" s="246" t="s">
        <v>389</v>
      </c>
      <c r="C125" s="247" t="s">
        <v>321</v>
      </c>
      <c r="D125" s="248">
        <v>30994588.440000001</v>
      </c>
      <c r="E125" s="249">
        <f>0.27/3</f>
        <v>9.0000000000000011E-2</v>
      </c>
      <c r="F125" s="251">
        <v>39336</v>
      </c>
      <c r="G125" s="251">
        <v>39577</v>
      </c>
    </row>
    <row r="126" spans="1:7" s="215" customFormat="1" x14ac:dyDescent="0.25">
      <c r="A126" s="240"/>
      <c r="B126" s="240" t="s">
        <v>390</v>
      </c>
      <c r="C126" s="241" t="s">
        <v>321</v>
      </c>
      <c r="D126" s="242">
        <v>27550745.280000001</v>
      </c>
      <c r="E126" s="243">
        <f>0.24/3</f>
        <v>0.08</v>
      </c>
      <c r="F126" s="245">
        <v>39535</v>
      </c>
      <c r="G126" s="245">
        <v>39577</v>
      </c>
    </row>
    <row r="127" spans="1:7" s="215" customFormat="1" ht="24" x14ac:dyDescent="0.25">
      <c r="A127" s="226" t="s">
        <v>391</v>
      </c>
      <c r="B127" s="227"/>
      <c r="C127" s="228"/>
      <c r="D127" s="229">
        <v>79208392.680000007</v>
      </c>
      <c r="E127" s="230">
        <f>SUM(E124:E126)</f>
        <v>0.23000000000000004</v>
      </c>
      <c r="F127" s="231" t="s">
        <v>0</v>
      </c>
      <c r="G127" s="226"/>
    </row>
    <row r="128" spans="1:7" ht="12" customHeight="1" x14ac:dyDescent="0.25">
      <c r="A128" s="265"/>
      <c r="B128" s="261"/>
      <c r="C128" s="247"/>
      <c r="D128" s="262"/>
      <c r="E128" s="263"/>
      <c r="F128" s="264"/>
      <c r="G128" s="265"/>
    </row>
    <row r="129" spans="1:7" ht="12" customHeight="1" x14ac:dyDescent="0.25">
      <c r="A129" s="226" t="s">
        <v>392</v>
      </c>
      <c r="B129" s="266"/>
      <c r="C129" s="266"/>
      <c r="D129" s="266"/>
      <c r="E129" s="266"/>
      <c r="F129" s="267"/>
      <c r="G129" s="266"/>
    </row>
    <row r="130" spans="1:7" s="215" customFormat="1" x14ac:dyDescent="0.25">
      <c r="A130" s="246"/>
      <c r="B130" s="246" t="s">
        <v>393</v>
      </c>
      <c r="C130" s="247" t="s">
        <v>321</v>
      </c>
      <c r="D130" s="248">
        <v>18367163.52</v>
      </c>
      <c r="E130" s="249">
        <f>0.16/3</f>
        <v>5.3333333333333337E-2</v>
      </c>
      <c r="F130" s="251">
        <v>38860</v>
      </c>
      <c r="G130" s="251">
        <v>39209</v>
      </c>
    </row>
    <row r="131" spans="1:7" ht="12" customHeight="1" x14ac:dyDescent="0.25">
      <c r="A131" s="240"/>
      <c r="B131" s="240" t="s">
        <v>394</v>
      </c>
      <c r="C131" s="241" t="s">
        <v>321</v>
      </c>
      <c r="D131" s="242">
        <v>24746122.420000002</v>
      </c>
      <c r="E131" s="243">
        <f>0.215568375/3</f>
        <v>7.1856125000000007E-2</v>
      </c>
      <c r="F131" s="245">
        <v>38923</v>
      </c>
      <c r="G131" s="245">
        <v>39209</v>
      </c>
    </row>
    <row r="132" spans="1:7" s="215" customFormat="1" x14ac:dyDescent="0.25">
      <c r="A132" s="246"/>
      <c r="B132" s="246" t="s">
        <v>395</v>
      </c>
      <c r="C132" s="247" t="s">
        <v>321</v>
      </c>
      <c r="D132" s="248">
        <v>27550745.280000001</v>
      </c>
      <c r="E132" s="249">
        <f>0.24/3</f>
        <v>0.08</v>
      </c>
      <c r="F132" s="251">
        <v>39034</v>
      </c>
      <c r="G132" s="251">
        <v>39209</v>
      </c>
    </row>
    <row r="133" spans="1:7" s="215" customFormat="1" x14ac:dyDescent="0.25">
      <c r="A133" s="240"/>
      <c r="B133" s="240" t="s">
        <v>396</v>
      </c>
      <c r="C133" s="241" t="s">
        <v>321</v>
      </c>
      <c r="D133" s="242">
        <v>20023838.66</v>
      </c>
      <c r="E133" s="243">
        <f>0.174431625/3</f>
        <v>5.8143875000000005E-2</v>
      </c>
      <c r="F133" s="245">
        <v>39175</v>
      </c>
      <c r="G133" s="245">
        <v>39209</v>
      </c>
    </row>
    <row r="134" spans="1:7" s="215" customFormat="1" ht="24" x14ac:dyDescent="0.25">
      <c r="A134" s="226" t="s">
        <v>397</v>
      </c>
      <c r="B134" s="227"/>
      <c r="C134" s="228"/>
      <c r="D134" s="229">
        <v>90687869.879999995</v>
      </c>
      <c r="E134" s="230">
        <f>SUM(E130:E133)</f>
        <v>0.26333333333333336</v>
      </c>
      <c r="F134" s="231" t="s">
        <v>0</v>
      </c>
      <c r="G134" s="226" t="s">
        <v>0</v>
      </c>
    </row>
    <row r="135" spans="1:7" x14ac:dyDescent="0.25">
      <c r="A135" s="225"/>
      <c r="B135" s="220"/>
      <c r="C135" s="221"/>
      <c r="D135" s="222"/>
      <c r="E135" s="223"/>
      <c r="F135" s="224"/>
      <c r="G135" s="225"/>
    </row>
    <row r="136" spans="1:7" ht="21.75" customHeight="1" x14ac:dyDescent="0.25">
      <c r="A136" s="225"/>
      <c r="B136" s="220"/>
      <c r="C136" s="221"/>
      <c r="D136" s="222"/>
      <c r="E136" s="223"/>
      <c r="F136" s="224"/>
      <c r="G136" s="225"/>
    </row>
    <row r="137" spans="1:7" s="22" customFormat="1" ht="33" customHeight="1" x14ac:dyDescent="0.25">
      <c r="A137" s="360" t="s">
        <v>398</v>
      </c>
      <c r="B137" s="361"/>
      <c r="C137" s="361"/>
      <c r="D137" s="361"/>
      <c r="E137" s="361"/>
      <c r="F137" s="361"/>
      <c r="G137" s="362"/>
    </row>
    <row r="138" spans="1:7" x14ac:dyDescent="0.25">
      <c r="A138" s="363" t="s">
        <v>399</v>
      </c>
      <c r="B138" s="364"/>
      <c r="C138" s="364"/>
      <c r="D138" s="364"/>
      <c r="E138" s="364"/>
      <c r="F138" s="364"/>
      <c r="G138" s="365"/>
    </row>
    <row r="139" spans="1:7" ht="29.25" customHeight="1" x14ac:dyDescent="0.25">
      <c r="A139" s="366" t="s">
        <v>400</v>
      </c>
      <c r="B139" s="367"/>
      <c r="C139" s="367"/>
      <c r="D139" s="367"/>
      <c r="E139" s="367"/>
      <c r="F139" s="367"/>
      <c r="G139" s="368"/>
    </row>
    <row r="151" ht="15" customHeight="1" x14ac:dyDescent="0.25"/>
    <row r="152" ht="15" customHeight="1" x14ac:dyDescent="0.25"/>
    <row r="155" x14ac:dyDescent="0.25"/>
    <row r="171" x14ac:dyDescent="0.25"/>
    <row r="203" x14ac:dyDescent="0.25"/>
    <row r="215" ht="15" customHeight="1" x14ac:dyDescent="0.25"/>
    <row r="216" ht="15" customHeight="1" x14ac:dyDescent="0.25"/>
    <row r="219" x14ac:dyDescent="0.25"/>
    <row r="231" ht="15" customHeight="1" x14ac:dyDescent="0.25"/>
    <row r="232" ht="15" customHeight="1" x14ac:dyDescent="0.25"/>
    <row r="233" ht="15" customHeight="1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x14ac:dyDescent="0.25"/>
    <row r="248" x14ac:dyDescent="0.25"/>
    <row r="249" x14ac:dyDescent="0.25"/>
    <row r="250" ht="15" customHeight="1" x14ac:dyDescent="0.25"/>
    <row r="251" ht="15" customHeight="1" x14ac:dyDescent="0.25"/>
  </sheetData>
  <mergeCells count="4">
    <mergeCell ref="C1:G1"/>
    <mergeCell ref="A137:G137"/>
    <mergeCell ref="A138:G138"/>
    <mergeCell ref="A139:G139"/>
  </mergeCells>
  <hyperlinks>
    <hyperlink ref="B11" r:id="rId1" display="https://api.mziq.com/mzfilemanager/v2/d/8bdb3906-0618-4e78-bbe3-a0be9f02d8cc/1e030373-657f-da63-dcb3-56e1a052a923?origin=1" xr:uid="{4592D7F0-4DC3-437C-8E2B-E17903E15350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DRE </vt:lpstr>
      <vt:lpstr>Balanço Patrimonial</vt:lpstr>
      <vt:lpstr>Endividamento </vt:lpstr>
      <vt:lpstr>Investimentos</vt:lpstr>
      <vt:lpstr>Dados Oper </vt:lpstr>
      <vt:lpstr>Breakdown Categoria</vt:lpstr>
      <vt:lpstr>Dividendos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CAROLINA ARAUJO DE MORAES CERVINO</cp:lastModifiedBy>
  <cp:lastPrinted>2022-10-19T15:09:27Z</cp:lastPrinted>
  <dcterms:created xsi:type="dcterms:W3CDTF">2017-03-30T12:32:18Z</dcterms:created>
  <dcterms:modified xsi:type="dcterms:W3CDTF">2024-03-22T19:23:41Z</dcterms:modified>
</cp:coreProperties>
</file>