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10 - DIVULGAÇÃO DE RESULTADOS\RESULTADOS TRIMESTRAIS\2020\4T20\Planilha Interativa\"/>
    </mc:Choice>
  </mc:AlternateContent>
  <bookViews>
    <workbookView xWindow="0" yWindow="0" windowWidth="17250" windowHeight="6660" tabRatio="743"/>
  </bookViews>
  <sheets>
    <sheet name="Índice" sheetId="7" r:id="rId1"/>
    <sheet name="DRE" sheetId="1" r:id="rId2"/>
    <sheet name="BalancoPatrimonial" sheetId="10" r:id="rId3"/>
    <sheet name="Endividamento" sheetId="2" r:id="rId4"/>
    <sheet name="HighlightsFinanc_Invest" sheetId="11" r:id="rId5"/>
    <sheet name="DadosOperacionais" sheetId="5" r:id="rId6"/>
    <sheet name="Breakdown Categoria" sheetId="6" r:id="rId7"/>
    <sheet name="Dividendos" sheetId="12" r:id="rId8"/>
  </sheets>
  <externalReferences>
    <externalReference r:id="rId9"/>
    <externalReference r:id="rId10"/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9" i="2" l="1"/>
  <c r="H179" i="2"/>
  <c r="AL172" i="2"/>
  <c r="AL179" i="2" s="1"/>
  <c r="AM172" i="2"/>
  <c r="AM179" i="2" s="1"/>
  <c r="AN172" i="2"/>
  <c r="AN179" i="2" s="1"/>
  <c r="AL176" i="2"/>
  <c r="AM176" i="2"/>
  <c r="AN176" i="2"/>
  <c r="AO176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25" i="2"/>
  <c r="AO120" i="2"/>
  <c r="AN120" i="2"/>
  <c r="AM120" i="2"/>
  <c r="AL120" i="2"/>
  <c r="AL113" i="2"/>
  <c r="AM113" i="2"/>
  <c r="AN113" i="2"/>
  <c r="AO113" i="2"/>
  <c r="AL61" i="2"/>
  <c r="AM61" i="2"/>
  <c r="AN61" i="2"/>
  <c r="AL54" i="2"/>
  <c r="AM54" i="2"/>
  <c r="AN54" i="2"/>
  <c r="AO54" i="2"/>
  <c r="AO61" i="2" s="1"/>
  <c r="AO172" i="2" l="1"/>
  <c r="AO179" i="2" s="1"/>
  <c r="J61" i="2"/>
  <c r="K61" i="2"/>
  <c r="J56" i="2"/>
  <c r="K56" i="2"/>
  <c r="J54" i="2"/>
  <c r="K54" i="2"/>
  <c r="J113" i="2"/>
  <c r="J120" i="2" s="1"/>
  <c r="K113" i="2"/>
  <c r="J115" i="2"/>
  <c r="K115" i="2"/>
  <c r="K120" i="2" s="1"/>
  <c r="I179" i="2"/>
  <c r="J174" i="2"/>
  <c r="K174" i="2"/>
  <c r="J172" i="2"/>
  <c r="J179" i="2" s="1"/>
  <c r="K172" i="2"/>
  <c r="K179" i="2" s="1"/>
  <c r="L172" i="2"/>
  <c r="L179" i="2" s="1"/>
  <c r="L174" i="2"/>
  <c r="M143" i="2"/>
  <c r="M172" i="2" s="1"/>
  <c r="M179" i="2" s="1"/>
  <c r="M174" i="2"/>
  <c r="L120" i="2"/>
  <c r="M120" i="2"/>
  <c r="M115" i="2"/>
  <c r="L115" i="2"/>
  <c r="L113" i="2"/>
  <c r="M113" i="2"/>
  <c r="M61" i="2"/>
  <c r="L61" i="2"/>
  <c r="L56" i="2"/>
  <c r="M56" i="2"/>
  <c r="L54" i="2"/>
  <c r="M54" i="2"/>
  <c r="E106" i="12" l="1"/>
  <c r="B74" i="6" l="1"/>
  <c r="B77" i="6"/>
  <c r="B76" i="6"/>
  <c r="B75" i="6"/>
  <c r="B66" i="6"/>
  <c r="B67" i="6"/>
  <c r="B69" i="6"/>
  <c r="B68" i="6"/>
  <c r="B60" i="6"/>
  <c r="B59" i="6"/>
  <c r="B58" i="6"/>
  <c r="B57" i="6"/>
  <c r="B56" i="6"/>
  <c r="B51" i="6"/>
  <c r="B50" i="6"/>
  <c r="B49" i="6"/>
  <c r="B48" i="6"/>
  <c r="B47" i="6"/>
  <c r="B41" i="6"/>
  <c r="B40" i="6"/>
  <c r="B39" i="6"/>
  <c r="B38" i="6"/>
  <c r="B30" i="6"/>
  <c r="B31" i="6"/>
  <c r="B33" i="6"/>
  <c r="B32" i="6"/>
  <c r="B21" i="6"/>
  <c r="B22" i="6"/>
  <c r="B23" i="6"/>
  <c r="B24" i="6"/>
  <c r="B16" i="6"/>
  <c r="B15" i="6"/>
  <c r="B14" i="6"/>
  <c r="B13" i="6"/>
  <c r="B9" i="6"/>
  <c r="B39" i="11"/>
  <c r="B34" i="11"/>
  <c r="B33" i="11"/>
  <c r="B32" i="11"/>
  <c r="B24" i="11"/>
  <c r="B23" i="11"/>
  <c r="B19" i="11"/>
  <c r="B15" i="11"/>
  <c r="B14" i="11"/>
  <c r="B13" i="11"/>
  <c r="B12" i="11"/>
  <c r="B11" i="11"/>
  <c r="B7" i="11"/>
  <c r="B6" i="11"/>
  <c r="B5" i="11"/>
  <c r="B35" i="11" l="1"/>
  <c r="B41" i="11" s="1"/>
  <c r="B34" i="6"/>
  <c r="B42" i="6"/>
  <c r="B61" i="6"/>
  <c r="B70" i="6"/>
  <c r="B78" i="6"/>
  <c r="B52" i="6"/>
  <c r="B25" i="6"/>
  <c r="B17" i="6"/>
  <c r="B151" i="2" l="1"/>
  <c r="B150" i="2"/>
  <c r="B149" i="2"/>
  <c r="B143" i="2"/>
  <c r="B141" i="2"/>
  <c r="B140" i="2"/>
  <c r="B133" i="2"/>
  <c r="B132" i="2"/>
  <c r="B131" i="2"/>
  <c r="B129" i="2"/>
  <c r="B128" i="2"/>
  <c r="B127" i="2"/>
  <c r="B115" i="2"/>
  <c r="B170" i="2"/>
  <c r="B166" i="2"/>
  <c r="B163" i="2"/>
  <c r="B160" i="2"/>
  <c r="B159" i="2"/>
  <c r="B144" i="2"/>
  <c r="B96" i="10"/>
  <c r="B95" i="10"/>
  <c r="B93" i="10"/>
  <c r="B92" i="10"/>
  <c r="B89" i="10"/>
  <c r="B43" i="10"/>
  <c r="B45" i="10" s="1"/>
  <c r="B36" i="10"/>
  <c r="B77" i="1"/>
  <c r="B107" i="1"/>
  <c r="B98" i="1"/>
  <c r="B85" i="1"/>
  <c r="B31" i="1"/>
  <c r="B14" i="1"/>
  <c r="B25" i="1"/>
  <c r="B10" i="1"/>
  <c r="B16" i="1" s="1"/>
  <c r="B135" i="2" l="1"/>
  <c r="B100" i="10"/>
  <c r="B48" i="1"/>
  <c r="B126" i="2"/>
  <c r="B137" i="2"/>
  <c r="B161" i="2"/>
  <c r="B157" i="2"/>
  <c r="B125" i="2"/>
  <c r="B136" i="2"/>
  <c r="B53" i="1"/>
  <c r="B130" i="2"/>
  <c r="B138" i="2"/>
  <c r="B177" i="2"/>
  <c r="B156" i="2"/>
  <c r="B154" i="2"/>
  <c r="B146" i="2"/>
  <c r="B113" i="2"/>
  <c r="B120" i="2" s="1"/>
  <c r="B164" i="2"/>
  <c r="B147" i="2"/>
  <c r="B153" i="2"/>
  <c r="B56" i="2"/>
  <c r="B176" i="2"/>
  <c r="B54" i="2"/>
  <c r="B69" i="10"/>
  <c r="B18" i="10"/>
  <c r="B47" i="10" s="1"/>
  <c r="B109" i="1"/>
  <c r="B55" i="1"/>
  <c r="B26" i="1"/>
  <c r="B33" i="1" s="1"/>
  <c r="B38" i="1" s="1"/>
  <c r="B114" i="1" l="1"/>
  <c r="B101" i="10"/>
  <c r="B16" i="11"/>
  <c r="B25" i="11" s="1"/>
  <c r="B172" i="2"/>
  <c r="B174" i="2"/>
  <c r="B61" i="2"/>
  <c r="B68" i="1"/>
  <c r="B179" i="2" l="1"/>
  <c r="E54" i="12"/>
  <c r="E53" i="12"/>
  <c r="E52" i="12"/>
  <c r="E51" i="12"/>
  <c r="E61" i="12"/>
  <c r="E60" i="12"/>
  <c r="E59" i="12"/>
  <c r="E58" i="12"/>
  <c r="E67" i="12"/>
  <c r="E66" i="12"/>
  <c r="E65" i="12"/>
  <c r="E82" i="12"/>
  <c r="E81" i="12"/>
  <c r="E80" i="12"/>
  <c r="E79" i="12"/>
  <c r="E78" i="12"/>
  <c r="E90" i="12"/>
  <c r="E89" i="12"/>
  <c r="E88" i="12"/>
  <c r="E87" i="12"/>
  <c r="E86" i="12"/>
  <c r="E97" i="12"/>
  <c r="E96" i="12"/>
  <c r="E95" i="12"/>
  <c r="E94" i="12"/>
  <c r="E104" i="12"/>
  <c r="E103" i="12"/>
  <c r="E102" i="12"/>
  <c r="E101" i="12"/>
  <c r="D106" i="12"/>
  <c r="E75" i="12"/>
  <c r="E47" i="12"/>
  <c r="E46" i="12"/>
  <c r="E45" i="12"/>
  <c r="E44" i="12"/>
  <c r="E48" i="12" s="1"/>
  <c r="E40" i="12"/>
  <c r="E39" i="12"/>
  <c r="E38" i="12"/>
  <c r="E37" i="12"/>
  <c r="E33" i="12"/>
  <c r="E32" i="12"/>
  <c r="E31" i="12"/>
  <c r="E30" i="12"/>
  <c r="E34" i="12" s="1"/>
  <c r="E26" i="12"/>
  <c r="E25" i="12"/>
  <c r="E24" i="12"/>
  <c r="E23" i="12"/>
  <c r="E13" i="12"/>
  <c r="E12" i="12"/>
  <c r="E11" i="12"/>
  <c r="E19" i="12"/>
  <c r="E18" i="12"/>
  <c r="E17" i="12"/>
  <c r="E7" i="12"/>
  <c r="E6" i="12"/>
  <c r="E5" i="12"/>
  <c r="E4" i="12"/>
  <c r="E8" i="12" l="1"/>
  <c r="E20" i="12"/>
  <c r="E91" i="12"/>
  <c r="E55" i="12"/>
  <c r="E62" i="12"/>
  <c r="E68" i="12"/>
  <c r="E83" i="12"/>
  <c r="E98" i="12"/>
  <c r="E41" i="12"/>
  <c r="E27" i="12"/>
  <c r="E14" i="12"/>
  <c r="C60" i="6" l="1"/>
  <c r="C59" i="6"/>
  <c r="C58" i="6"/>
  <c r="C57" i="6"/>
  <c r="C56" i="6"/>
  <c r="C51" i="6"/>
  <c r="C50" i="6"/>
  <c r="C49" i="6"/>
  <c r="C48" i="6"/>
  <c r="C47" i="6"/>
  <c r="C41" i="6"/>
  <c r="C40" i="6"/>
  <c r="C39" i="6"/>
  <c r="C38" i="6"/>
  <c r="C70" i="6" l="1"/>
  <c r="C78" i="6"/>
  <c r="C61" i="6"/>
  <c r="C52" i="6"/>
  <c r="C42" i="6"/>
  <c r="C35" i="11"/>
  <c r="C41" i="11" s="1"/>
  <c r="C18" i="11"/>
  <c r="C17" i="11"/>
  <c r="C9" i="6" l="1"/>
  <c r="C127" i="2"/>
  <c r="C128" i="2"/>
  <c r="C129" i="2"/>
  <c r="C131" i="2"/>
  <c r="C132" i="2"/>
  <c r="C133" i="2"/>
  <c r="C140" i="2"/>
  <c r="C141" i="2"/>
  <c r="C143" i="2"/>
  <c r="C149" i="2"/>
  <c r="C150" i="2"/>
  <c r="C151" i="2"/>
  <c r="C167" i="2"/>
  <c r="C168" i="2"/>
  <c r="C169" i="2"/>
  <c r="C118" i="2"/>
  <c r="C117" i="2"/>
  <c r="C111" i="2"/>
  <c r="C105" i="2"/>
  <c r="C104" i="2"/>
  <c r="C102" i="2"/>
  <c r="C101" i="2"/>
  <c r="C98" i="2"/>
  <c r="C97" i="2"/>
  <c r="C95" i="2"/>
  <c r="C94" i="2"/>
  <c r="C88" i="2"/>
  <c r="C87" i="2"/>
  <c r="C79" i="2"/>
  <c r="C78" i="2"/>
  <c r="C77" i="2"/>
  <c r="C76" i="2"/>
  <c r="C71" i="2"/>
  <c r="C67" i="2"/>
  <c r="C66" i="2"/>
  <c r="C59" i="2"/>
  <c r="C177" i="2" s="1"/>
  <c r="C58" i="2"/>
  <c r="C176" i="2" s="1"/>
  <c r="C52" i="2"/>
  <c r="C170" i="2" s="1"/>
  <c r="C46" i="2"/>
  <c r="C45" i="2"/>
  <c r="C163" i="2" s="1"/>
  <c r="C43" i="2"/>
  <c r="C161" i="2" s="1"/>
  <c r="C42" i="2"/>
  <c r="C160" i="2" s="1"/>
  <c r="C41" i="2"/>
  <c r="C159" i="2" s="1"/>
  <c r="C39" i="2"/>
  <c r="C38" i="2"/>
  <c r="C36" i="2"/>
  <c r="C35" i="2"/>
  <c r="C29" i="2"/>
  <c r="C28" i="2"/>
  <c r="C26" i="2"/>
  <c r="C144" i="2" s="1"/>
  <c r="C20" i="2"/>
  <c r="C19" i="2"/>
  <c r="C18" i="2"/>
  <c r="C17" i="2"/>
  <c r="C12" i="2"/>
  <c r="C8" i="2"/>
  <c r="C7" i="2"/>
  <c r="C97" i="10"/>
  <c r="C96" i="10"/>
  <c r="C95" i="10"/>
  <c r="C93" i="10"/>
  <c r="C92" i="10"/>
  <c r="C87" i="10"/>
  <c r="C82" i="10"/>
  <c r="C78" i="10"/>
  <c r="C77" i="10"/>
  <c r="C76" i="10"/>
  <c r="C75" i="10"/>
  <c r="C74" i="10"/>
  <c r="C67" i="10"/>
  <c r="C65" i="10"/>
  <c r="C64" i="10"/>
  <c r="C63" i="10"/>
  <c r="C59" i="10"/>
  <c r="C58" i="10"/>
  <c r="C57" i="10"/>
  <c r="C56" i="10"/>
  <c r="C55" i="10"/>
  <c r="C54" i="10"/>
  <c r="C53" i="10"/>
  <c r="C60" i="10"/>
  <c r="C52" i="10"/>
  <c r="C41" i="10"/>
  <c r="C40" i="10"/>
  <c r="C39" i="10"/>
  <c r="C34" i="10"/>
  <c r="C33" i="10"/>
  <c r="C32" i="10"/>
  <c r="C31" i="10"/>
  <c r="C30" i="10"/>
  <c r="C29" i="10"/>
  <c r="C28" i="10"/>
  <c r="C26" i="10"/>
  <c r="C25" i="10"/>
  <c r="C24" i="10"/>
  <c r="C112" i="1"/>
  <c r="C111" i="1"/>
  <c r="C31" i="1"/>
  <c r="C19" i="11" s="1"/>
  <c r="C147" i="2" l="1"/>
  <c r="C157" i="2"/>
  <c r="C5" i="11"/>
  <c r="C53" i="1"/>
  <c r="C125" i="2"/>
  <c r="C146" i="2"/>
  <c r="C156" i="2"/>
  <c r="C115" i="2"/>
  <c r="C69" i="10"/>
  <c r="C14" i="11" s="1"/>
  <c r="C135" i="2"/>
  <c r="C154" i="2"/>
  <c r="C153" i="2"/>
  <c r="C10" i="1"/>
  <c r="C16" i="1" s="1"/>
  <c r="C6" i="11" s="1"/>
  <c r="C126" i="2"/>
  <c r="C137" i="2"/>
  <c r="C48" i="1"/>
  <c r="C18" i="10"/>
  <c r="C12" i="11" s="1"/>
  <c r="C23" i="11" s="1"/>
  <c r="C130" i="2"/>
  <c r="C138" i="2"/>
  <c r="C113" i="2"/>
  <c r="C120" i="2" s="1"/>
  <c r="C136" i="2"/>
  <c r="C164" i="2"/>
  <c r="C54" i="2"/>
  <c r="C56" i="2"/>
  <c r="C174" i="2"/>
  <c r="C100" i="10"/>
  <c r="C16" i="11" s="1"/>
  <c r="C89" i="10"/>
  <c r="C15" i="11" s="1"/>
  <c r="C43" i="10"/>
  <c r="C36" i="10"/>
  <c r="C107" i="1"/>
  <c r="C98" i="1"/>
  <c r="C85" i="1"/>
  <c r="C77" i="1"/>
  <c r="C55" i="1"/>
  <c r="C25" i="1"/>
  <c r="C172" i="2" l="1"/>
  <c r="C179" i="2" s="1"/>
  <c r="C26" i="1"/>
  <c r="C33" i="1" s="1"/>
  <c r="C38" i="1" s="1"/>
  <c r="C7" i="11" s="1"/>
  <c r="C61" i="2"/>
  <c r="C25" i="11"/>
  <c r="C101" i="10"/>
  <c r="C45" i="10"/>
  <c r="C109" i="1"/>
  <c r="C114" i="1" s="1"/>
  <c r="C68" i="1"/>
  <c r="C47" i="10" l="1"/>
  <c r="C11" i="11" s="1"/>
  <c r="C13" i="11"/>
  <c r="D113" i="2"/>
  <c r="D17" i="6"/>
  <c r="D9" i="6"/>
  <c r="D89" i="10"/>
  <c r="D15" i="11" s="1"/>
  <c r="D69" i="10"/>
  <c r="D14" i="11" s="1"/>
  <c r="D43" i="10"/>
  <c r="D36" i="10"/>
  <c r="D107" i="1"/>
  <c r="D45" i="10" l="1"/>
  <c r="D13" i="11" s="1"/>
  <c r="D48" i="1"/>
  <c r="D54" i="2"/>
  <c r="D98" i="1"/>
  <c r="D109" i="1" s="1"/>
  <c r="D100" i="10"/>
  <c r="D16" i="11" s="1"/>
  <c r="D25" i="11" s="1"/>
  <c r="D174" i="2"/>
  <c r="D115" i="2"/>
  <c r="D120" i="2" s="1"/>
  <c r="D34" i="6"/>
  <c r="D101" i="10"/>
  <c r="D56" i="2"/>
  <c r="D52" i="6"/>
  <c r="D78" i="6"/>
  <c r="D70" i="6"/>
  <c r="D61" i="6"/>
  <c r="D42" i="6"/>
  <c r="D25" i="6"/>
  <c r="D61" i="2" l="1"/>
  <c r="D172" i="2"/>
  <c r="D179" i="2" s="1"/>
  <c r="D18" i="10" l="1"/>
  <c r="D12" i="11" l="1"/>
  <c r="D23" i="11" s="1"/>
  <c r="D47" i="10"/>
  <c r="D11" i="11" s="1"/>
  <c r="D77" i="1" l="1"/>
  <c r="D85" i="1"/>
  <c r="D55" i="1"/>
  <c r="D18" i="11"/>
  <c r="D41" i="11" l="1"/>
  <c r="D5" i="11"/>
  <c r="D68" i="1"/>
  <c r="D114" i="1"/>
  <c r="D10" i="1"/>
  <c r="D16" i="1" s="1"/>
  <c r="D53" i="1"/>
  <c r="D31" i="1"/>
  <c r="D19" i="11" s="1"/>
  <c r="D25" i="1"/>
  <c r="E18" i="11"/>
  <c r="C24" i="11" s="1"/>
  <c r="D24" i="11" l="1"/>
  <c r="D26" i="1"/>
  <c r="D33" i="1" s="1"/>
  <c r="D38" i="1" s="1"/>
  <c r="D7" i="11" s="1"/>
  <c r="D6" i="11"/>
  <c r="E78" i="6"/>
  <c r="E70" i="6"/>
  <c r="E52" i="6"/>
  <c r="E34" i="6"/>
  <c r="E25" i="6"/>
  <c r="E17" i="6"/>
  <c r="E9" i="6"/>
  <c r="E35" i="11"/>
  <c r="E41" i="11" s="1"/>
  <c r="E17" i="11"/>
  <c r="E24" i="11" s="1"/>
  <c r="E5" i="11"/>
  <c r="E176" i="2"/>
  <c r="E177" i="2"/>
  <c r="E125" i="2"/>
  <c r="E126" i="2"/>
  <c r="E130" i="2"/>
  <c r="E135" i="2"/>
  <c r="E136" i="2"/>
  <c r="E137" i="2"/>
  <c r="E138" i="2"/>
  <c r="E143" i="2"/>
  <c r="E144" i="2"/>
  <c r="E146" i="2"/>
  <c r="E147" i="2"/>
  <c r="E153" i="2"/>
  <c r="E154" i="2"/>
  <c r="E156" i="2"/>
  <c r="E157" i="2"/>
  <c r="E159" i="2"/>
  <c r="E160" i="2"/>
  <c r="E161" i="2"/>
  <c r="E163" i="2"/>
  <c r="E164" i="2"/>
  <c r="E170" i="2"/>
  <c r="E115" i="2"/>
  <c r="E113" i="2"/>
  <c r="E56" i="2"/>
  <c r="E89" i="10"/>
  <c r="E15" i="11" s="1"/>
  <c r="E69" i="10"/>
  <c r="E14" i="11" s="1"/>
  <c r="E18" i="10"/>
  <c r="E12" i="11" s="1"/>
  <c r="E85" i="1"/>
  <c r="E55" i="1"/>
  <c r="E68" i="1" s="1"/>
  <c r="E53" i="1"/>
  <c r="E48" i="1"/>
  <c r="E88" i="1"/>
  <c r="E172" i="2" l="1"/>
  <c r="E174" i="2"/>
  <c r="E23" i="11"/>
  <c r="E14" i="1"/>
  <c r="E107" i="1"/>
  <c r="E98" i="1"/>
  <c r="E77" i="1"/>
  <c r="E61" i="6"/>
  <c r="E42" i="6"/>
  <c r="E120" i="2"/>
  <c r="E54" i="2"/>
  <c r="E61" i="2" s="1"/>
  <c r="E100" i="10"/>
  <c r="E43" i="10"/>
  <c r="E36" i="10"/>
  <c r="E109" i="1" l="1"/>
  <c r="E114" i="1" s="1"/>
  <c r="E179" i="2"/>
  <c r="E101" i="10"/>
  <c r="E16" i="11"/>
  <c r="E25" i="11" s="1"/>
  <c r="E45" i="10"/>
  <c r="E13" i="11" s="1"/>
  <c r="E31" i="1"/>
  <c r="E19" i="11" s="1"/>
  <c r="E25" i="1"/>
  <c r="E10" i="1"/>
  <c r="E16" i="1" s="1"/>
  <c r="E6" i="11" s="1"/>
  <c r="E47" i="10" l="1"/>
  <c r="E11" i="11" s="1"/>
  <c r="E26" i="1"/>
  <c r="E33" i="1" s="1"/>
  <c r="E38" i="1" s="1"/>
  <c r="E7" i="11" s="1"/>
  <c r="D98" i="12"/>
  <c r="F52" i="6" l="1"/>
  <c r="F164" i="2" l="1"/>
  <c r="F159" i="2"/>
  <c r="F143" i="2"/>
  <c r="F170" i="2"/>
  <c r="F156" i="2"/>
  <c r="F125" i="2"/>
  <c r="F177" i="2"/>
  <c r="F163" i="2"/>
  <c r="F161" i="2"/>
  <c r="F153" i="2"/>
  <c r="F146" i="2"/>
  <c r="F136" i="2"/>
  <c r="F115" i="2" l="1"/>
  <c r="F56" i="2"/>
  <c r="F176" i="2"/>
  <c r="F174" i="2" s="1"/>
  <c r="F137" i="2"/>
  <c r="F147" i="2"/>
  <c r="F157" i="2"/>
  <c r="F135" i="2"/>
  <c r="F144" i="2"/>
  <c r="F154" i="2"/>
  <c r="F160" i="2"/>
  <c r="F126" i="2"/>
  <c r="F130" i="2"/>
  <c r="F138" i="2"/>
  <c r="F113" i="2"/>
  <c r="F54" i="2"/>
  <c r="F61" i="2" l="1"/>
  <c r="F120" i="2"/>
  <c r="F172" i="2"/>
  <c r="F179" i="2" s="1"/>
  <c r="F70" i="6" l="1"/>
  <c r="F61" i="6"/>
  <c r="F25" i="6"/>
  <c r="F78" i="6"/>
  <c r="F9" i="6" l="1"/>
  <c r="F17" i="11"/>
  <c r="F24" i="11" s="1"/>
  <c r="F5" i="11" l="1"/>
  <c r="F35" i="11"/>
  <c r="F41" i="11" s="1"/>
  <c r="I35" i="11"/>
  <c r="I41" i="11" s="1"/>
  <c r="J35" i="11"/>
  <c r="J41" i="11" s="1"/>
  <c r="K35" i="11"/>
  <c r="K41" i="11" s="1"/>
  <c r="L35" i="11"/>
  <c r="L41" i="11" s="1"/>
  <c r="M35" i="11"/>
  <c r="M41" i="11" s="1"/>
  <c r="N35" i="11"/>
  <c r="N41" i="11" s="1"/>
  <c r="O35" i="11"/>
  <c r="O41" i="11" s="1"/>
  <c r="P35" i="11"/>
  <c r="P41" i="11" s="1"/>
  <c r="Q35" i="11"/>
  <c r="Q41" i="11" s="1"/>
  <c r="R35" i="11"/>
  <c r="R41" i="11" s="1"/>
  <c r="S35" i="11"/>
  <c r="S41" i="11" s="1"/>
  <c r="T35" i="11"/>
  <c r="T41" i="11" s="1"/>
  <c r="U35" i="11"/>
  <c r="U41" i="11" s="1"/>
  <c r="V35" i="11"/>
  <c r="V41" i="11" s="1"/>
  <c r="W35" i="11"/>
  <c r="W41" i="11" s="1"/>
  <c r="X35" i="11"/>
  <c r="X41" i="11" s="1"/>
  <c r="Y35" i="11"/>
  <c r="Y41" i="11" s="1"/>
  <c r="Z35" i="11"/>
  <c r="Z41" i="11" s="1"/>
  <c r="AA35" i="11"/>
  <c r="AA41" i="11" s="1"/>
  <c r="AB35" i="11"/>
  <c r="AB41" i="11" s="1"/>
  <c r="AC35" i="11"/>
  <c r="AC41" i="11" s="1"/>
  <c r="AD35" i="11"/>
  <c r="AD41" i="11" s="1"/>
  <c r="AE35" i="11"/>
  <c r="AE41" i="11" s="1"/>
  <c r="AF35" i="11"/>
  <c r="AF41" i="11" s="1"/>
  <c r="AG35" i="11"/>
  <c r="AG41" i="11" s="1"/>
  <c r="AH35" i="11"/>
  <c r="AH41" i="11" s="1"/>
  <c r="AI35" i="11"/>
  <c r="AI41" i="11" s="1"/>
  <c r="AJ35" i="11"/>
  <c r="AJ41" i="11" s="1"/>
  <c r="AK35" i="11"/>
  <c r="AK41" i="11" s="1"/>
  <c r="AL35" i="11"/>
  <c r="AL41" i="11" s="1"/>
  <c r="AM35" i="11"/>
  <c r="AM41" i="11" s="1"/>
  <c r="AN35" i="11"/>
  <c r="AN41" i="11" s="1"/>
  <c r="AO35" i="11"/>
  <c r="AO41" i="11" s="1"/>
  <c r="H35" i="11"/>
  <c r="H41" i="11" s="1"/>
  <c r="G35" i="11"/>
  <c r="G41" i="11" s="1"/>
  <c r="F88" i="1" l="1"/>
  <c r="F87" i="1"/>
  <c r="F51" i="1"/>
  <c r="F50" i="1"/>
  <c r="F53" i="1" s="1"/>
  <c r="F69" i="10"/>
  <c r="F14" i="11" s="1"/>
  <c r="F48" i="1" l="1"/>
  <c r="F107" i="1"/>
  <c r="F85" i="1"/>
  <c r="F77" i="1"/>
  <c r="F98" i="1"/>
  <c r="F55" i="1"/>
  <c r="F68" i="1" s="1"/>
  <c r="F100" i="10"/>
  <c r="F16" i="11" s="1"/>
  <c r="F89" i="10"/>
  <c r="F15" i="11" s="1"/>
  <c r="F25" i="11" l="1"/>
  <c r="F109" i="1"/>
  <c r="F114" i="1" s="1"/>
  <c r="F101" i="10"/>
  <c r="F43" i="10" l="1"/>
  <c r="F18" i="10"/>
  <c r="F12" i="11" s="1"/>
  <c r="F23" i="11" s="1"/>
  <c r="F10" i="1"/>
  <c r="F16" i="1" s="1"/>
  <c r="F6" i="11" s="1"/>
  <c r="F31" i="1"/>
  <c r="F19" i="11" s="1"/>
  <c r="F25" i="1"/>
  <c r="F26" i="1" l="1"/>
  <c r="F33" i="1" s="1"/>
  <c r="F38" i="1" s="1"/>
  <c r="F7" i="11" s="1"/>
  <c r="F36" i="10"/>
  <c r="F45" i="10" s="1"/>
  <c r="F47" i="10" l="1"/>
  <c r="F11" i="11" s="1"/>
  <c r="F13" i="11"/>
  <c r="G115" i="2" l="1"/>
  <c r="G56" i="2"/>
  <c r="G54" i="2"/>
  <c r="G61" i="2" l="1"/>
  <c r="G24" i="11"/>
  <c r="G17" i="6" l="1"/>
  <c r="G78" i="6"/>
  <c r="G25" i="6"/>
  <c r="G34" i="6"/>
  <c r="G70" i="6"/>
  <c r="G61" i="6"/>
  <c r="G52" i="6"/>
  <c r="G42" i="6"/>
  <c r="G172" i="2" l="1"/>
  <c r="G113" i="2"/>
  <c r="G120" i="2" s="1"/>
  <c r="G174" i="2" l="1"/>
  <c r="G9" i="6" l="1"/>
  <c r="G5" i="11"/>
  <c r="G100" i="10"/>
  <c r="G16" i="11" s="1"/>
  <c r="G89" i="10"/>
  <c r="G15" i="11" s="1"/>
  <c r="G69" i="10"/>
  <c r="G43" i="10"/>
  <c r="G36" i="10"/>
  <c r="G112" i="1"/>
  <c r="G111" i="1"/>
  <c r="G107" i="1"/>
  <c r="G98" i="1"/>
  <c r="G85" i="1"/>
  <c r="G77" i="1"/>
  <c r="G51" i="1"/>
  <c r="G50" i="1"/>
  <c r="G53" i="1" s="1"/>
  <c r="G48" i="1"/>
  <c r="G31" i="1"/>
  <c r="G19" i="11" s="1"/>
  <c r="G25" i="1"/>
  <c r="G10" i="1"/>
  <c r="G16" i="1" s="1"/>
  <c r="G6" i="11" s="1"/>
  <c r="G45" i="10" l="1"/>
  <c r="G13" i="11" s="1"/>
  <c r="G109" i="1"/>
  <c r="G26" i="1"/>
  <c r="G33" i="1" s="1"/>
  <c r="G38" i="1" s="1"/>
  <c r="G7" i="11" s="1"/>
  <c r="G18" i="10"/>
  <c r="G101" i="10"/>
  <c r="G14" i="11"/>
  <c r="G25" i="11" s="1"/>
  <c r="G47" i="10" l="1"/>
  <c r="G11" i="11" s="1"/>
  <c r="G12" i="11"/>
  <c r="G23" i="11" s="1"/>
  <c r="L5" i="11"/>
  <c r="I100" i="10" l="1"/>
  <c r="I16" i="11" s="1"/>
  <c r="J100" i="10"/>
  <c r="J16" i="11" s="1"/>
  <c r="K100" i="10"/>
  <c r="L100" i="10"/>
  <c r="L16" i="11" s="1"/>
  <c r="M100" i="10"/>
  <c r="M16" i="11" s="1"/>
  <c r="N100" i="10"/>
  <c r="N16" i="11" s="1"/>
  <c r="O100" i="10"/>
  <c r="O16" i="11" s="1"/>
  <c r="P100" i="10"/>
  <c r="P16" i="11" s="1"/>
  <c r="Q100" i="10"/>
  <c r="Q16" i="11" s="1"/>
  <c r="R100" i="10"/>
  <c r="R16" i="11" s="1"/>
  <c r="S100" i="10"/>
  <c r="S16" i="11" s="1"/>
  <c r="T100" i="10"/>
  <c r="T16" i="11" s="1"/>
  <c r="U100" i="10"/>
  <c r="U16" i="11" s="1"/>
  <c r="V100" i="10"/>
  <c r="V16" i="11" s="1"/>
  <c r="W100" i="10"/>
  <c r="W16" i="11" s="1"/>
  <c r="X100" i="10"/>
  <c r="X16" i="11" s="1"/>
  <c r="Y100" i="10"/>
  <c r="Y16" i="11" s="1"/>
  <c r="Z100" i="10"/>
  <c r="Z16" i="11" s="1"/>
  <c r="AA100" i="10"/>
  <c r="AA16" i="11" s="1"/>
  <c r="AB100" i="10"/>
  <c r="AB16" i="11" s="1"/>
  <c r="AC100" i="10"/>
  <c r="AC16" i="11" s="1"/>
  <c r="AD100" i="10"/>
  <c r="AD16" i="11" s="1"/>
  <c r="AE100" i="10"/>
  <c r="AE16" i="11" s="1"/>
  <c r="AF100" i="10"/>
  <c r="AF16" i="11" s="1"/>
  <c r="AG100" i="10"/>
  <c r="AG16" i="11" s="1"/>
  <c r="AH100" i="10"/>
  <c r="AH16" i="11" s="1"/>
  <c r="AI100" i="10"/>
  <c r="AI16" i="11" s="1"/>
  <c r="AJ100" i="10"/>
  <c r="AJ16" i="11" s="1"/>
  <c r="AK100" i="10"/>
  <c r="AK16" i="11" s="1"/>
  <c r="AL100" i="10"/>
  <c r="AL16" i="11" s="1"/>
  <c r="AM100" i="10"/>
  <c r="AM16" i="11" s="1"/>
  <c r="AN100" i="10"/>
  <c r="AN16" i="11" s="1"/>
  <c r="AO100" i="10"/>
  <c r="AO16" i="11" s="1"/>
  <c r="H100" i="10"/>
  <c r="H16" i="11" s="1"/>
  <c r="I89" i="10"/>
  <c r="I15" i="11" s="1"/>
  <c r="J89" i="10"/>
  <c r="J15" i="11" s="1"/>
  <c r="K89" i="10"/>
  <c r="K15" i="11" s="1"/>
  <c r="L89" i="10"/>
  <c r="L15" i="11" s="1"/>
  <c r="M89" i="10"/>
  <c r="M15" i="11" s="1"/>
  <c r="N89" i="10"/>
  <c r="N15" i="11" s="1"/>
  <c r="O89" i="10"/>
  <c r="O15" i="11" s="1"/>
  <c r="P89" i="10"/>
  <c r="P15" i="11" s="1"/>
  <c r="Q89" i="10"/>
  <c r="Q15" i="11" s="1"/>
  <c r="R89" i="10"/>
  <c r="R15" i="11" s="1"/>
  <c r="S89" i="10"/>
  <c r="S15" i="11" s="1"/>
  <c r="T89" i="10"/>
  <c r="T15" i="11" s="1"/>
  <c r="U89" i="10"/>
  <c r="U15" i="11" s="1"/>
  <c r="V89" i="10"/>
  <c r="V15" i="11" s="1"/>
  <c r="W89" i="10"/>
  <c r="W15" i="11" s="1"/>
  <c r="X89" i="10"/>
  <c r="X15" i="11" s="1"/>
  <c r="Y89" i="10"/>
  <c r="Y15" i="11" s="1"/>
  <c r="Z89" i="10"/>
  <c r="Z15" i="11" s="1"/>
  <c r="AA89" i="10"/>
  <c r="AA15" i="11" s="1"/>
  <c r="AB89" i="10"/>
  <c r="AB15" i="11" s="1"/>
  <c r="AC89" i="10"/>
  <c r="AC15" i="11" s="1"/>
  <c r="AD89" i="10"/>
  <c r="AD15" i="11" s="1"/>
  <c r="AE89" i="10"/>
  <c r="AE15" i="11" s="1"/>
  <c r="AF89" i="10"/>
  <c r="AF15" i="11" s="1"/>
  <c r="AG89" i="10"/>
  <c r="AG15" i="11" s="1"/>
  <c r="AH89" i="10"/>
  <c r="AH15" i="11" s="1"/>
  <c r="AI89" i="10"/>
  <c r="AI15" i="11" s="1"/>
  <c r="AJ89" i="10"/>
  <c r="AJ15" i="11" s="1"/>
  <c r="AK89" i="10"/>
  <c r="AK15" i="11" s="1"/>
  <c r="AL89" i="10"/>
  <c r="AL15" i="11" s="1"/>
  <c r="AM89" i="10"/>
  <c r="AM15" i="11" s="1"/>
  <c r="AN89" i="10"/>
  <c r="AN15" i="11" s="1"/>
  <c r="AO89" i="10"/>
  <c r="AO15" i="11" s="1"/>
  <c r="H89" i="10"/>
  <c r="H15" i="11" s="1"/>
  <c r="I69" i="10"/>
  <c r="I14" i="11" s="1"/>
  <c r="J69" i="10"/>
  <c r="J14" i="11" s="1"/>
  <c r="K69" i="10"/>
  <c r="K14" i="11" s="1"/>
  <c r="L69" i="10"/>
  <c r="L14" i="11" s="1"/>
  <c r="M69" i="10"/>
  <c r="M14" i="11" s="1"/>
  <c r="N69" i="10"/>
  <c r="N14" i="11" s="1"/>
  <c r="O69" i="10"/>
  <c r="O14" i="11" s="1"/>
  <c r="P69" i="10"/>
  <c r="P14" i="11" s="1"/>
  <c r="Q69" i="10"/>
  <c r="Q14" i="11" s="1"/>
  <c r="R69" i="10"/>
  <c r="R14" i="11" s="1"/>
  <c r="S69" i="10"/>
  <c r="S14" i="11" s="1"/>
  <c r="T69" i="10"/>
  <c r="T14" i="11" s="1"/>
  <c r="U69" i="10"/>
  <c r="U14" i="11" s="1"/>
  <c r="V69" i="10"/>
  <c r="V14" i="11" s="1"/>
  <c r="W69" i="10"/>
  <c r="W14" i="11" s="1"/>
  <c r="X69" i="10"/>
  <c r="X14" i="11" s="1"/>
  <c r="Y69" i="10"/>
  <c r="Y14" i="11" s="1"/>
  <c r="Z69" i="10"/>
  <c r="Z14" i="11" s="1"/>
  <c r="AA69" i="10"/>
  <c r="AA14" i="11" s="1"/>
  <c r="AB69" i="10"/>
  <c r="AB14" i="11" s="1"/>
  <c r="AC69" i="10"/>
  <c r="AC14" i="11" s="1"/>
  <c r="AD69" i="10"/>
  <c r="AD14" i="11" s="1"/>
  <c r="AE69" i="10"/>
  <c r="AE14" i="11" s="1"/>
  <c r="AF69" i="10"/>
  <c r="AF14" i="11" s="1"/>
  <c r="AG69" i="10"/>
  <c r="AG14" i="11" s="1"/>
  <c r="AH69" i="10"/>
  <c r="AH14" i="11" s="1"/>
  <c r="AI69" i="10"/>
  <c r="AI14" i="11" s="1"/>
  <c r="AJ69" i="10"/>
  <c r="AJ14" i="11" s="1"/>
  <c r="AK69" i="10"/>
  <c r="AK14" i="11" s="1"/>
  <c r="AL69" i="10"/>
  <c r="AL14" i="11" s="1"/>
  <c r="AM69" i="10"/>
  <c r="AM14" i="11" s="1"/>
  <c r="AN69" i="10"/>
  <c r="AN14" i="11" s="1"/>
  <c r="AO69" i="10"/>
  <c r="AO14" i="11" s="1"/>
  <c r="H69" i="10"/>
  <c r="H14" i="11" s="1"/>
  <c r="I43" i="10"/>
  <c r="J43" i="10"/>
  <c r="K43" i="10"/>
  <c r="L43" i="10"/>
  <c r="M43" i="10"/>
  <c r="N43" i="10"/>
  <c r="N45" i="10" s="1"/>
  <c r="O43" i="10"/>
  <c r="P43" i="10"/>
  <c r="Q43" i="10"/>
  <c r="R43" i="10"/>
  <c r="R45" i="10" s="1"/>
  <c r="S43" i="10"/>
  <c r="T43" i="10"/>
  <c r="U43" i="10"/>
  <c r="V43" i="10"/>
  <c r="V45" i="10" s="1"/>
  <c r="W43" i="10"/>
  <c r="X43" i="10"/>
  <c r="Y43" i="10"/>
  <c r="Z43" i="10"/>
  <c r="Z45" i="10" s="1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L45" i="10" s="1"/>
  <c r="AM43" i="10"/>
  <c r="AN43" i="10"/>
  <c r="AO43" i="10"/>
  <c r="H43" i="10"/>
  <c r="H45" i="10" s="1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H36" i="10"/>
  <c r="I18" i="10"/>
  <c r="I12" i="11" s="1"/>
  <c r="J18" i="10"/>
  <c r="J12" i="11" s="1"/>
  <c r="K18" i="10"/>
  <c r="K12" i="11" s="1"/>
  <c r="L18" i="10"/>
  <c r="L12" i="11" s="1"/>
  <c r="M18" i="10"/>
  <c r="M12" i="11" s="1"/>
  <c r="N18" i="10"/>
  <c r="N12" i="11" s="1"/>
  <c r="O18" i="10"/>
  <c r="O12" i="11" s="1"/>
  <c r="P18" i="10"/>
  <c r="P12" i="11" s="1"/>
  <c r="Q18" i="10"/>
  <c r="Q12" i="11" s="1"/>
  <c r="R18" i="10"/>
  <c r="R12" i="11" s="1"/>
  <c r="S18" i="10"/>
  <c r="S12" i="11" s="1"/>
  <c r="T18" i="10"/>
  <c r="T12" i="11" s="1"/>
  <c r="U18" i="10"/>
  <c r="U12" i="11" s="1"/>
  <c r="V18" i="10"/>
  <c r="V12" i="11" s="1"/>
  <c r="W18" i="10"/>
  <c r="W12" i="11" s="1"/>
  <c r="X18" i="10"/>
  <c r="X12" i="11" s="1"/>
  <c r="Y18" i="10"/>
  <c r="Y12" i="11" s="1"/>
  <c r="Z18" i="10"/>
  <c r="Z12" i="11" s="1"/>
  <c r="AA18" i="10"/>
  <c r="AA12" i="11" s="1"/>
  <c r="AB18" i="10"/>
  <c r="AB12" i="11" s="1"/>
  <c r="AC18" i="10"/>
  <c r="AC12" i="11" s="1"/>
  <c r="AD18" i="10"/>
  <c r="AD12" i="11" s="1"/>
  <c r="AE18" i="10"/>
  <c r="AE12" i="11" s="1"/>
  <c r="AF18" i="10"/>
  <c r="AF12" i="11" s="1"/>
  <c r="AG18" i="10"/>
  <c r="AG12" i="11" s="1"/>
  <c r="AH18" i="10"/>
  <c r="AH12" i="11" s="1"/>
  <c r="AI18" i="10"/>
  <c r="AI12" i="11" s="1"/>
  <c r="AJ18" i="10"/>
  <c r="AJ12" i="11" s="1"/>
  <c r="AK18" i="10"/>
  <c r="AK12" i="11" s="1"/>
  <c r="AL18" i="10"/>
  <c r="AL12" i="11" s="1"/>
  <c r="AM18" i="10"/>
  <c r="AM12" i="11" s="1"/>
  <c r="AN18" i="10"/>
  <c r="AN12" i="11" s="1"/>
  <c r="AO18" i="10"/>
  <c r="AO12" i="11" s="1"/>
  <c r="H18" i="10"/>
  <c r="H12" i="11" s="1"/>
  <c r="AD45" i="10" l="1"/>
  <c r="AD47" i="10" s="1"/>
  <c r="AK45" i="10"/>
  <c r="AK47" i="10" s="1"/>
  <c r="AC45" i="10"/>
  <c r="AC47" i="10" s="1"/>
  <c r="U45" i="10"/>
  <c r="U47" i="10" s="1"/>
  <c r="M45" i="10"/>
  <c r="M47" i="10" s="1"/>
  <c r="AM25" i="11"/>
  <c r="AI25" i="11"/>
  <c r="AE25" i="11"/>
  <c r="AA25" i="11"/>
  <c r="W25" i="11"/>
  <c r="S25" i="11"/>
  <c r="O25" i="11"/>
  <c r="AO45" i="10"/>
  <c r="AO47" i="10" s="1"/>
  <c r="AG45" i="10"/>
  <c r="AG47" i="10" s="1"/>
  <c r="Y45" i="10"/>
  <c r="Y47" i="10" s="1"/>
  <c r="Q45" i="10"/>
  <c r="Q47" i="10" s="1"/>
  <c r="J45" i="10"/>
  <c r="J47" i="10" s="1"/>
  <c r="AM45" i="10"/>
  <c r="AM47" i="10" s="1"/>
  <c r="AI45" i="10"/>
  <c r="AI47" i="10" s="1"/>
  <c r="AE45" i="10"/>
  <c r="AE47" i="10" s="1"/>
  <c r="AA45" i="10"/>
  <c r="AA47" i="10" s="1"/>
  <c r="W45" i="10"/>
  <c r="W47" i="10" s="1"/>
  <c r="S45" i="10"/>
  <c r="S47" i="10" s="1"/>
  <c r="O45" i="10"/>
  <c r="O47" i="10" s="1"/>
  <c r="K45" i="10"/>
  <c r="K47" i="10" s="1"/>
  <c r="AG25" i="11"/>
  <c r="AC25" i="11"/>
  <c r="Q25" i="11"/>
  <c r="H25" i="11"/>
  <c r="AL25" i="11"/>
  <c r="AH25" i="11"/>
  <c r="AD25" i="11"/>
  <c r="Z25" i="11"/>
  <c r="V25" i="11"/>
  <c r="R25" i="11"/>
  <c r="N25" i="11"/>
  <c r="J25" i="11"/>
  <c r="AN25" i="11"/>
  <c r="AJ25" i="11"/>
  <c r="AF25" i="11"/>
  <c r="AB25" i="11"/>
  <c r="X25" i="11"/>
  <c r="T25" i="11"/>
  <c r="AO25" i="11"/>
  <c r="AK25" i="11"/>
  <c r="Y25" i="11"/>
  <c r="U25" i="11"/>
  <c r="K101" i="10"/>
  <c r="K11" i="11" s="1"/>
  <c r="K13" i="11" s="1"/>
  <c r="K16" i="11"/>
  <c r="K25" i="11" s="1"/>
  <c r="H47" i="10"/>
  <c r="AL47" i="10"/>
  <c r="Z47" i="10"/>
  <c r="V47" i="10"/>
  <c r="N47" i="10"/>
  <c r="I45" i="10"/>
  <c r="I47" i="10" s="1"/>
  <c r="M25" i="11"/>
  <c r="I25" i="11"/>
  <c r="AN45" i="10"/>
  <c r="AN47" i="10" s="1"/>
  <c r="AJ45" i="10"/>
  <c r="AJ47" i="10" s="1"/>
  <c r="AF45" i="10"/>
  <c r="AF47" i="10" s="1"/>
  <c r="AB45" i="10"/>
  <c r="AB47" i="10" s="1"/>
  <c r="X45" i="10"/>
  <c r="X47" i="10" s="1"/>
  <c r="T45" i="10"/>
  <c r="T47" i="10" s="1"/>
  <c r="P45" i="10"/>
  <c r="P47" i="10" s="1"/>
  <c r="L45" i="10"/>
  <c r="L47" i="10" s="1"/>
  <c r="P25" i="11"/>
  <c r="L25" i="11"/>
  <c r="AH45" i="10"/>
  <c r="AH47" i="10" s="1"/>
  <c r="AM101" i="10"/>
  <c r="AM11" i="11" s="1"/>
  <c r="AM13" i="11" s="1"/>
  <c r="AI101" i="10"/>
  <c r="AI11" i="11" s="1"/>
  <c r="AI13" i="11" s="1"/>
  <c r="AE101" i="10"/>
  <c r="AE11" i="11" s="1"/>
  <c r="AE13" i="11" s="1"/>
  <c r="AA101" i="10"/>
  <c r="AA11" i="11" s="1"/>
  <c r="AA13" i="11" s="1"/>
  <c r="W101" i="10"/>
  <c r="W11" i="11" s="1"/>
  <c r="W13" i="11" s="1"/>
  <c r="S101" i="10"/>
  <c r="S11" i="11" s="1"/>
  <c r="S13" i="11" s="1"/>
  <c r="O101" i="10"/>
  <c r="O11" i="11" s="1"/>
  <c r="O13" i="11" s="1"/>
  <c r="AO101" i="10"/>
  <c r="AO11" i="11" s="1"/>
  <c r="AO13" i="11" s="1"/>
  <c r="AK101" i="10"/>
  <c r="AK11" i="11" s="1"/>
  <c r="AK13" i="11" s="1"/>
  <c r="AG101" i="10"/>
  <c r="AG11" i="11" s="1"/>
  <c r="AG13" i="11" s="1"/>
  <c r="AC101" i="10"/>
  <c r="AC11" i="11" s="1"/>
  <c r="AC13" i="11" s="1"/>
  <c r="Y101" i="10"/>
  <c r="Y11" i="11" s="1"/>
  <c r="Y13" i="11" s="1"/>
  <c r="U101" i="10"/>
  <c r="U11" i="11" s="1"/>
  <c r="U13" i="11" s="1"/>
  <c r="M101" i="10"/>
  <c r="M11" i="11" s="1"/>
  <c r="M13" i="11" s="1"/>
  <c r="I101" i="10"/>
  <c r="I11" i="11" s="1"/>
  <c r="I13" i="11" s="1"/>
  <c r="AN101" i="10"/>
  <c r="AN11" i="11" s="1"/>
  <c r="AN13" i="11" s="1"/>
  <c r="AJ101" i="10"/>
  <c r="AJ11" i="11" s="1"/>
  <c r="AJ13" i="11" s="1"/>
  <c r="AF101" i="10"/>
  <c r="AF11" i="11" s="1"/>
  <c r="AF13" i="11" s="1"/>
  <c r="AB101" i="10"/>
  <c r="AB11" i="11" s="1"/>
  <c r="AB13" i="11" s="1"/>
  <c r="X101" i="10"/>
  <c r="X11" i="11" s="1"/>
  <c r="X13" i="11" s="1"/>
  <c r="T101" i="10"/>
  <c r="T11" i="11" s="1"/>
  <c r="T13" i="11" s="1"/>
  <c r="P101" i="10"/>
  <c r="P11" i="11" s="1"/>
  <c r="P13" i="11" s="1"/>
  <c r="L101" i="10"/>
  <c r="L11" i="11" s="1"/>
  <c r="L13" i="11" s="1"/>
  <c r="R47" i="10"/>
  <c r="H101" i="10"/>
  <c r="H11" i="11" s="1"/>
  <c r="H13" i="11" s="1"/>
  <c r="AL101" i="10"/>
  <c r="AL11" i="11" s="1"/>
  <c r="AL13" i="11" s="1"/>
  <c r="AH101" i="10"/>
  <c r="AH11" i="11" s="1"/>
  <c r="AH13" i="11" s="1"/>
  <c r="AD101" i="10"/>
  <c r="AD11" i="11" s="1"/>
  <c r="AD13" i="11" s="1"/>
  <c r="Z101" i="10"/>
  <c r="Z11" i="11" s="1"/>
  <c r="Z13" i="11" s="1"/>
  <c r="V101" i="10"/>
  <c r="V11" i="11" s="1"/>
  <c r="V13" i="11" s="1"/>
  <c r="R101" i="10"/>
  <c r="R11" i="11" s="1"/>
  <c r="R13" i="11" s="1"/>
  <c r="N101" i="10"/>
  <c r="N11" i="11" s="1"/>
  <c r="N13" i="11" s="1"/>
  <c r="J101" i="10"/>
  <c r="J11" i="11" s="1"/>
  <c r="J13" i="11" s="1"/>
  <c r="Q101" i="10"/>
  <c r="Q11" i="11" s="1"/>
  <c r="Q13" i="11" s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H14" i="1"/>
  <c r="AB77" i="1"/>
  <c r="M55" i="1"/>
  <c r="N55" i="1"/>
  <c r="O55" i="1"/>
  <c r="O68" i="1" s="1"/>
  <c r="P55" i="1"/>
  <c r="P68" i="1" s="1"/>
  <c r="Q55" i="1"/>
  <c r="R55" i="1"/>
  <c r="S55" i="1"/>
  <c r="S68" i="1" s="1"/>
  <c r="T55" i="1"/>
  <c r="T68" i="1" s="1"/>
  <c r="U55" i="1"/>
  <c r="V55" i="1"/>
  <c r="W55" i="1"/>
  <c r="W68" i="1" s="1"/>
  <c r="X55" i="1"/>
  <c r="X68" i="1" s="1"/>
  <c r="Y55" i="1"/>
  <c r="Z55" i="1"/>
  <c r="AA55" i="1"/>
  <c r="AA68" i="1" s="1"/>
  <c r="AB55" i="1"/>
  <c r="AB68" i="1" s="1"/>
  <c r="AC55" i="1"/>
  <c r="AD55" i="1"/>
  <c r="AE55" i="1"/>
  <c r="AE68" i="1" s="1"/>
  <c r="AF55" i="1"/>
  <c r="AF68" i="1" s="1"/>
  <c r="AG55" i="1"/>
  <c r="AG68" i="1" s="1"/>
  <c r="AH55" i="1"/>
  <c r="AI55" i="1"/>
  <c r="AI68" i="1" s="1"/>
  <c r="AJ55" i="1"/>
  <c r="AK55" i="1"/>
  <c r="AL55" i="1"/>
  <c r="AM55" i="1"/>
  <c r="AM68" i="1" s="1"/>
  <c r="AN55" i="1"/>
  <c r="AN68" i="1" s="1"/>
  <c r="AO55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H107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A109" i="1" s="1"/>
  <c r="AA19" i="11" s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H98" i="1"/>
  <c r="AG85" i="1"/>
  <c r="I85" i="1"/>
  <c r="J85" i="1"/>
  <c r="K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H85" i="1"/>
  <c r="AI85" i="1"/>
  <c r="AJ85" i="1"/>
  <c r="AK85" i="1"/>
  <c r="AL85" i="1"/>
  <c r="AM85" i="1"/>
  <c r="AN85" i="1"/>
  <c r="AO85" i="1"/>
  <c r="H85" i="1"/>
  <c r="L83" i="1"/>
  <c r="L85" i="1" s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H77" i="1"/>
  <c r="I62" i="1"/>
  <c r="I60" i="1"/>
  <c r="I63" i="1"/>
  <c r="J62" i="1"/>
  <c r="J60" i="1"/>
  <c r="J63" i="1"/>
  <c r="K60" i="1"/>
  <c r="L60" i="1"/>
  <c r="K62" i="1"/>
  <c r="K63" i="1"/>
  <c r="L63" i="1"/>
  <c r="L62" i="1"/>
  <c r="H62" i="1"/>
  <c r="H63" i="1"/>
  <c r="H60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H48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H31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H25" i="1"/>
  <c r="I10" i="1"/>
  <c r="J10" i="1"/>
  <c r="J16" i="1" s="1"/>
  <c r="K10" i="1"/>
  <c r="L10" i="1"/>
  <c r="M10" i="1"/>
  <c r="N10" i="1"/>
  <c r="N16" i="1" s="1"/>
  <c r="O10" i="1"/>
  <c r="P10" i="1"/>
  <c r="Q10" i="1"/>
  <c r="R10" i="1"/>
  <c r="R16" i="1" s="1"/>
  <c r="S10" i="1"/>
  <c r="T10" i="1"/>
  <c r="U10" i="1"/>
  <c r="V10" i="1"/>
  <c r="V16" i="1" s="1"/>
  <c r="W10" i="1"/>
  <c r="X10" i="1"/>
  <c r="Y10" i="1"/>
  <c r="Z10" i="1"/>
  <c r="Z16" i="1" s="1"/>
  <c r="AA10" i="1"/>
  <c r="AB10" i="1"/>
  <c r="AC10" i="1"/>
  <c r="AD10" i="1"/>
  <c r="AD16" i="1" s="1"/>
  <c r="AE10" i="1"/>
  <c r="AF10" i="1"/>
  <c r="AG10" i="1"/>
  <c r="AH10" i="1"/>
  <c r="AI10" i="1"/>
  <c r="AJ10" i="1"/>
  <c r="AK10" i="1"/>
  <c r="AL10" i="1"/>
  <c r="AL16" i="1" s="1"/>
  <c r="AM10" i="1"/>
  <c r="AN10" i="1"/>
  <c r="AO10" i="1"/>
  <c r="H10" i="1"/>
  <c r="AN109" i="1" l="1"/>
  <c r="AN19" i="11" s="1"/>
  <c r="AF109" i="1"/>
  <c r="AF19" i="11" s="1"/>
  <c r="AB109" i="1"/>
  <c r="AB19" i="11" s="1"/>
  <c r="X109" i="1"/>
  <c r="X19" i="11" s="1"/>
  <c r="T109" i="1"/>
  <c r="T19" i="11" s="1"/>
  <c r="P109" i="1"/>
  <c r="P19" i="11" s="1"/>
  <c r="L109" i="1"/>
  <c r="L19" i="11" s="1"/>
  <c r="K55" i="1"/>
  <c r="K68" i="1" s="1"/>
  <c r="K109" i="1"/>
  <c r="K19" i="11" s="1"/>
  <c r="AO16" i="1"/>
  <c r="AO26" i="1" s="1"/>
  <c r="AO33" i="1" s="1"/>
  <c r="AO38" i="1" s="1"/>
  <c r="AK16" i="1"/>
  <c r="AK26" i="1" s="1"/>
  <c r="AK33" i="1" s="1"/>
  <c r="AK38" i="1" s="1"/>
  <c r="AC16" i="1"/>
  <c r="AC26" i="1" s="1"/>
  <c r="AC33" i="1" s="1"/>
  <c r="AC38" i="1" s="1"/>
  <c r="Y16" i="1"/>
  <c r="Y26" i="1" s="1"/>
  <c r="Y33" i="1" s="1"/>
  <c r="Y38" i="1" s="1"/>
  <c r="U16" i="1"/>
  <c r="U26" i="1" s="1"/>
  <c r="U33" i="1" s="1"/>
  <c r="U38" i="1" s="1"/>
  <c r="Q16" i="1"/>
  <c r="Q26" i="1" s="1"/>
  <c r="Q33" i="1" s="1"/>
  <c r="Q38" i="1" s="1"/>
  <c r="M16" i="1"/>
  <c r="M26" i="1" s="1"/>
  <c r="M33" i="1" s="1"/>
  <c r="M38" i="1" s="1"/>
  <c r="I16" i="1"/>
  <c r="I26" i="1" s="1"/>
  <c r="I33" i="1" s="1"/>
  <c r="I38" i="1" s="1"/>
  <c r="AM109" i="1"/>
  <c r="AM19" i="11" s="1"/>
  <c r="W109" i="1"/>
  <c r="W19" i="11" s="1"/>
  <c r="S109" i="1"/>
  <c r="S19" i="11" s="1"/>
  <c r="O109" i="1"/>
  <c r="O19" i="11" s="1"/>
  <c r="H55" i="1"/>
  <c r="H109" i="1"/>
  <c r="H19" i="11" s="1"/>
  <c r="AL109" i="1"/>
  <c r="AL19" i="11" s="1"/>
  <c r="Z109" i="1"/>
  <c r="Z19" i="11" s="1"/>
  <c r="V109" i="1"/>
  <c r="V19" i="11" s="1"/>
  <c r="R109" i="1"/>
  <c r="R19" i="11" s="1"/>
  <c r="N109" i="1"/>
  <c r="N19" i="11" s="1"/>
  <c r="J109" i="1"/>
  <c r="J19" i="11" s="1"/>
  <c r="AN114" i="1"/>
  <c r="L55" i="1"/>
  <c r="L68" i="1" s="1"/>
  <c r="AA114" i="1"/>
  <c r="J55" i="1"/>
  <c r="J114" i="1" s="1"/>
  <c r="I55" i="1"/>
  <c r="I68" i="1" s="1"/>
  <c r="W114" i="1"/>
  <c r="AE109" i="1"/>
  <c r="AE19" i="11" s="1"/>
  <c r="Z114" i="1"/>
  <c r="AO109" i="1"/>
  <c r="AO19" i="11" s="1"/>
  <c r="AK109" i="1"/>
  <c r="AK19" i="11" s="1"/>
  <c r="AC109" i="1"/>
  <c r="AC19" i="11" s="1"/>
  <c r="Y109" i="1"/>
  <c r="Y19" i="11" s="1"/>
  <c r="U109" i="1"/>
  <c r="U19" i="11" s="1"/>
  <c r="Q109" i="1"/>
  <c r="Q19" i="11" s="1"/>
  <c r="M109" i="1"/>
  <c r="M19" i="11" s="1"/>
  <c r="I109" i="1"/>
  <c r="I19" i="11" s="1"/>
  <c r="AO114" i="1"/>
  <c r="Q114" i="1"/>
  <c r="AI109" i="1"/>
  <c r="AI19" i="11" s="1"/>
  <c r="AM16" i="1"/>
  <c r="AM26" i="1" s="1"/>
  <c r="AM33" i="1" s="1"/>
  <c r="AM38" i="1" s="1"/>
  <c r="AA16" i="1"/>
  <c r="AA26" i="1" s="1"/>
  <c r="AA33" i="1" s="1"/>
  <c r="AA38" i="1" s="1"/>
  <c r="W16" i="1"/>
  <c r="W26" i="1" s="1"/>
  <c r="W33" i="1" s="1"/>
  <c r="W38" i="1" s="1"/>
  <c r="S16" i="1"/>
  <c r="S26" i="1" s="1"/>
  <c r="S33" i="1" s="1"/>
  <c r="S38" i="1" s="1"/>
  <c r="O16" i="1"/>
  <c r="O26" i="1" s="1"/>
  <c r="O33" i="1" s="1"/>
  <c r="O38" i="1" s="1"/>
  <c r="K16" i="1"/>
  <c r="K26" i="1" s="1"/>
  <c r="K33" i="1" s="1"/>
  <c r="K38" i="1" s="1"/>
  <c r="AJ109" i="1"/>
  <c r="AH109" i="1"/>
  <c r="AH19" i="11" s="1"/>
  <c r="AH16" i="1"/>
  <c r="AH26" i="1" s="1"/>
  <c r="AH33" i="1" s="1"/>
  <c r="AH38" i="1" s="1"/>
  <c r="AI16" i="1"/>
  <c r="AI26" i="1" s="1"/>
  <c r="AI33" i="1" s="1"/>
  <c r="AI38" i="1" s="1"/>
  <c r="AJ68" i="1"/>
  <c r="AG109" i="1"/>
  <c r="AG19" i="11" s="1"/>
  <c r="AE16" i="1"/>
  <c r="AE26" i="1" s="1"/>
  <c r="AE33" i="1" s="1"/>
  <c r="AE38" i="1" s="1"/>
  <c r="AD109" i="1"/>
  <c r="AG16" i="1"/>
  <c r="AG26" i="1" s="1"/>
  <c r="AG33" i="1" s="1"/>
  <c r="AG114" i="1"/>
  <c r="AN16" i="1"/>
  <c r="AN26" i="1" s="1"/>
  <c r="AN33" i="1" s="1"/>
  <c r="AN38" i="1" s="1"/>
  <c r="AJ16" i="1"/>
  <c r="AJ26" i="1" s="1"/>
  <c r="AJ33" i="1" s="1"/>
  <c r="AJ38" i="1" s="1"/>
  <c r="AF16" i="1"/>
  <c r="AF26" i="1" s="1"/>
  <c r="AF33" i="1" s="1"/>
  <c r="AF38" i="1" s="1"/>
  <c r="AB16" i="1"/>
  <c r="AB26" i="1" s="1"/>
  <c r="AB33" i="1" s="1"/>
  <c r="AB38" i="1" s="1"/>
  <c r="X16" i="1"/>
  <c r="X26" i="1" s="1"/>
  <c r="X33" i="1" s="1"/>
  <c r="X38" i="1" s="1"/>
  <c r="T16" i="1"/>
  <c r="T26" i="1" s="1"/>
  <c r="T33" i="1" s="1"/>
  <c r="T38" i="1" s="1"/>
  <c r="P16" i="1"/>
  <c r="P26" i="1" s="1"/>
  <c r="P33" i="1" s="1"/>
  <c r="P38" i="1" s="1"/>
  <c r="L16" i="1"/>
  <c r="L26" i="1" s="1"/>
  <c r="L33" i="1" s="1"/>
  <c r="L38" i="1" s="1"/>
  <c r="H16" i="1"/>
  <c r="H26" i="1" s="1"/>
  <c r="H33" i="1" s="1"/>
  <c r="H38" i="1" s="1"/>
  <c r="AL68" i="1"/>
  <c r="AH68" i="1"/>
  <c r="AD68" i="1"/>
  <c r="Z68" i="1"/>
  <c r="V68" i="1"/>
  <c r="R68" i="1"/>
  <c r="N68" i="1"/>
  <c r="AO68" i="1"/>
  <c r="AK68" i="1"/>
  <c r="AC68" i="1"/>
  <c r="Y68" i="1"/>
  <c r="U68" i="1"/>
  <c r="Q68" i="1"/>
  <c r="M68" i="1"/>
  <c r="AD26" i="1"/>
  <c r="AD33" i="1" s="1"/>
  <c r="AD38" i="1" s="1"/>
  <c r="Z26" i="1"/>
  <c r="Z33" i="1" s="1"/>
  <c r="Z38" i="1" s="1"/>
  <c r="V26" i="1"/>
  <c r="V33" i="1" s="1"/>
  <c r="V38" i="1" s="1"/>
  <c r="R26" i="1"/>
  <c r="R33" i="1" s="1"/>
  <c r="R38" i="1" s="1"/>
  <c r="N26" i="1"/>
  <c r="N33" i="1" s="1"/>
  <c r="N38" i="1" s="1"/>
  <c r="J26" i="1"/>
  <c r="J33" i="1" s="1"/>
  <c r="J38" i="1" s="1"/>
  <c r="AL26" i="1"/>
  <c r="AL33" i="1" s="1"/>
  <c r="AL38" i="1" s="1"/>
  <c r="AB114" i="1" l="1"/>
  <c r="K114" i="1"/>
  <c r="AF114" i="1"/>
  <c r="P114" i="1"/>
  <c r="X114" i="1"/>
  <c r="T114" i="1"/>
  <c r="AK114" i="1"/>
  <c r="V114" i="1"/>
  <c r="AM114" i="1"/>
  <c r="H114" i="1"/>
  <c r="AL114" i="1"/>
  <c r="N114" i="1"/>
  <c r="O114" i="1"/>
  <c r="S114" i="1"/>
  <c r="H68" i="1"/>
  <c r="J68" i="1"/>
  <c r="R114" i="1"/>
  <c r="L114" i="1"/>
  <c r="AD114" i="1"/>
  <c r="AD19" i="11"/>
  <c r="AE114" i="1"/>
  <c r="U114" i="1"/>
  <c r="I114" i="1"/>
  <c r="AJ114" i="1"/>
  <c r="AJ19" i="11"/>
  <c r="Y114" i="1"/>
  <c r="AI114" i="1"/>
  <c r="AH114" i="1"/>
  <c r="M114" i="1"/>
  <c r="AC114" i="1"/>
  <c r="AG38" i="1"/>
  <c r="G55" i="1" l="1"/>
  <c r="G114" i="1" l="1"/>
  <c r="G68" i="1"/>
</calcChain>
</file>

<file path=xl/sharedStrings.xml><?xml version="1.0" encoding="utf-8"?>
<sst xmlns="http://schemas.openxmlformats.org/spreadsheetml/2006/main" count="1161" uniqueCount="452">
  <si>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</si>
  <si>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</si>
  <si>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</si>
  <si>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</si>
  <si>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</si>
  <si>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</si>
  <si>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</si>
  <si>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</si>
  <si>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</si>
  <si>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</si>
  <si>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</si>
  <si>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</si>
  <si>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</si>
  <si>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</si>
  <si>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</si>
  <si>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</si>
  <si>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</si>
  <si>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</si>
  <si>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</si>
  <si>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</si>
  <si>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</si>
  <si>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</si>
  <si>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</si>
  <si>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</si>
  <si>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</si>
  <si>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</si>
  <si>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</si>
  <si>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</si>
  <si>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</si>
  <si>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</si>
  <si>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</si>
  <si>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</si>
  <si>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-</t>
  </si>
  <si>
    <t xml:space="preserve">PPP do Rio Manso </t>
  </si>
  <si>
    <t>4T13</t>
  </si>
  <si>
    <t>BNDES/DEBÊNTURES 11ª EMISSÃO</t>
  </si>
  <si>
    <t>DEBÊNTURES DE MERCADO - 13ª EMISSÃO</t>
  </si>
  <si>
    <t>1ª SÉRIE</t>
  </si>
  <si>
    <t>2ª SÉRIE</t>
  </si>
  <si>
    <t>3ª SÉRIE</t>
  </si>
  <si>
    <t>IBM (R$)</t>
  </si>
  <si>
    <t>KFW (contrato em Euro)</t>
  </si>
  <si>
    <t>1 - *Recursos FGTS: Caixa Econômica Federal;</t>
  </si>
  <si>
    <t>2 - **Diversas datas, sendo que 98% do saldo devedor atual foi contratado até dez/2014, e o restante, correspondente a 2% do saldo devedor, foi contratado a partir de jan/2015;</t>
  </si>
  <si>
    <t xml:space="preserve">3 - ***A 1ª série foi quitada em 02/2017; </t>
  </si>
  <si>
    <t>4 - ****Taxa média (LIBOR+Spread) de diversos bônus;</t>
  </si>
  <si>
    <t>5 - *****Refere-se ao contrato de confissão e consolidação de dívidas celebrado junto à União em 05/08/1998, decorrente de compromissos em moeda estrangeira com credores externos anteriormente contratados.</t>
  </si>
  <si>
    <t>Caixa e bancos</t>
  </si>
  <si>
    <t>Títulos e valores mobiliários</t>
  </si>
  <si>
    <t>Clientes</t>
  </si>
  <si>
    <t>Aplicações financeiras resgatáveis acima de 90 dias</t>
  </si>
  <si>
    <t>Ativos Financeiros mantidos até o vencimento</t>
  </si>
  <si>
    <t>Estoques</t>
  </si>
  <si>
    <t>Impostos a recuperar</t>
  </si>
  <si>
    <t>Imposto de renda e contribuição social diferidos</t>
  </si>
  <si>
    <t>Convênio de cooperação técnica</t>
  </si>
  <si>
    <t>Bancos e aplicações de convênios</t>
  </si>
  <si>
    <t>Créditos diversos</t>
  </si>
  <si>
    <t>Caução em garantia de financiamentos</t>
  </si>
  <si>
    <t>Aplicação financeira vinculada</t>
  </si>
  <si>
    <t>Depósitos judiciais</t>
  </si>
  <si>
    <t>Créditos com controladas</t>
  </si>
  <si>
    <t>Ativos financeiros - contratos de concessão</t>
  </si>
  <si>
    <t>Investimentos</t>
  </si>
  <si>
    <t>Ativo de contrato</t>
  </si>
  <si>
    <t>Intangível</t>
  </si>
  <si>
    <t>Imobilizado</t>
  </si>
  <si>
    <t>Direitos de uso de Arrendamento Mercantil</t>
  </si>
  <si>
    <t>Empreiteiros e fornecedores</t>
  </si>
  <si>
    <t>Impostos, taxas e contribuições</t>
  </si>
  <si>
    <t>Empréstimos e financiamentos</t>
  </si>
  <si>
    <t>Debêntures</t>
  </si>
  <si>
    <t>Direito de Uso - Arrendamento Mercantil</t>
  </si>
  <si>
    <t>Parceria Público Privada</t>
  </si>
  <si>
    <t>Participação dos empregados nos lucros</t>
  </si>
  <si>
    <t>Provisão para férias e 13º salário</t>
  </si>
  <si>
    <t>Imposto de renda e contribuição social a pagar</t>
  </si>
  <si>
    <t>Parcelamento de impostos</t>
  </si>
  <si>
    <t>Provisão tributária</t>
  </si>
  <si>
    <t>Obrigações de benefícios de aposentadoria</t>
  </si>
  <si>
    <t>Juros sobre o capital próprio</t>
  </si>
  <si>
    <t>Energia elétrica</t>
  </si>
  <si>
    <t>Obrigações diversas</t>
  </si>
  <si>
    <t>Parceria público privada</t>
  </si>
  <si>
    <t>Provisão para processos em litígios</t>
  </si>
  <si>
    <t>Adiantamento para futuro aumento de capital</t>
  </si>
  <si>
    <t>Provisão para perdas em investimentos</t>
  </si>
  <si>
    <t>Capital social realizado</t>
  </si>
  <si>
    <t>Ações em tesouraria</t>
  </si>
  <si>
    <t>Reservas de capital</t>
  </si>
  <si>
    <t>Reservas de lucro</t>
  </si>
  <si>
    <t>Ajustes de avaliações patrimoniais</t>
  </si>
  <si>
    <t>Lucros acumulados</t>
  </si>
  <si>
    <t>Recursos para Aumento de Capital</t>
  </si>
  <si>
    <t xml:space="preserve">Liquidez Corrente  </t>
  </si>
  <si>
    <t xml:space="preserve">Dívida Líquida / EBITDA </t>
  </si>
  <si>
    <t xml:space="preserve">Extensão de Rede - Água (km) </t>
  </si>
  <si>
    <t xml:space="preserve">Extensão de Rede - Esgoto (km) </t>
  </si>
  <si>
    <t xml:space="preserve">Nº. de Municípios - Concessão Água </t>
  </si>
  <si>
    <t xml:space="preserve">Nº. de Municípios - Concessão Esgoto </t>
  </si>
  <si>
    <t xml:space="preserve">Nº. de Municípios - Operação Água </t>
  </si>
  <si>
    <t xml:space="preserve">Nº. de Municípios - Operação Esgoto </t>
  </si>
  <si>
    <t>1 - Os dados acima consideram a COPASA e a COPANOR em conjunto, exceto, o volume de esgoto tratado, volume distribuído de água, número de empregados, população atendida e dias de consumo que abrangem apenas a COPASA.</t>
  </si>
  <si>
    <t xml:space="preserve">2 - A população atendida de água e esgoto foi revisada. Vide Comunicado ao Mercado divulgado no dia 25/11/2015. </t>
  </si>
  <si>
    <t>3 - A partir do 2T16, a Companhia passou a mostrar o volume medido e não mais o volume faturado. Essa mudança foi decorrente da alteração da estrutura tarifária, em que o faturamento pelo consumo mínimo foi substituído pela Tarifa Fixa e pela Tarifa Variável.</t>
  </si>
  <si>
    <t>4- Dias de consumo: refere-se à quantidade de dias entre a leitura inicial e final para apuração do consumo medido. Esse valor reflete a média da operação da COPASA MG com um todo, tendo em vista que cada localidade possui período de dias de consumo específico.</t>
  </si>
  <si>
    <t xml:space="preserve">Faturamento água </t>
  </si>
  <si>
    <t xml:space="preserve">Faturamento esgoto </t>
  </si>
  <si>
    <t xml:space="preserve">Total Faturamento </t>
  </si>
  <si>
    <t xml:space="preserve">Residencial </t>
  </si>
  <si>
    <t xml:space="preserve">Comercial, serviços e outros </t>
  </si>
  <si>
    <t xml:space="preserve">Industrial </t>
  </si>
  <si>
    <t xml:space="preserve">Poderes públicos </t>
  </si>
  <si>
    <t xml:space="preserve">Total </t>
  </si>
  <si>
    <t xml:space="preserve">Poderes Públicos </t>
  </si>
  <si>
    <t xml:space="preserve">Categoria Mista </t>
  </si>
  <si>
    <t>1 - Não estão incluídos os dados referentes à subsidiária COPANOR.</t>
  </si>
  <si>
    <t>2 - O faturamento de água e esgoto toma-se como base o volume efetivamente observado, não levando em conta eventuais variações no componente ?receita a faturar?, bem como o faturamento indireto decorrentes de impontualidade, serviços de religações, sanções, dentre outros.</t>
  </si>
  <si>
    <t>DRE e Breakdown</t>
  </si>
  <si>
    <t xml:space="preserve">Endividamento </t>
  </si>
  <si>
    <t>Highlights Financeiros</t>
  </si>
  <si>
    <t>Dados Operacionais</t>
  </si>
  <si>
    <t xml:space="preserve">  Nº. de Ligações - Água </t>
  </si>
  <si>
    <t xml:space="preserve">  Nº. de Ligações - Esgoto </t>
  </si>
  <si>
    <t xml:space="preserve">  Nº. de Economias - Água </t>
  </si>
  <si>
    <t xml:space="preserve">  Nº. de Economias - Esgoto </t>
  </si>
  <si>
    <t xml:space="preserve">  Volume Medido - Água (3) </t>
  </si>
  <si>
    <t xml:space="preserve">  Volume Medido - Esgoto (3) </t>
  </si>
  <si>
    <t xml:space="preserve">   Volume Faturado - Água </t>
  </si>
  <si>
    <t xml:space="preserve">   Volume Faturado - Esgoto </t>
  </si>
  <si>
    <t xml:space="preserve">  Dias de Consumo (trimestre) (1) (4)</t>
  </si>
  <si>
    <t xml:space="preserve">  Dias de Consumo (média mensal) (1) (4)</t>
  </si>
  <si>
    <t xml:space="preserve">Breakdown por categoria de consumidor </t>
  </si>
  <si>
    <t xml:space="preserve"> Abastecimento de Água (%)</t>
  </si>
  <si>
    <t xml:space="preserve"> Serviços de Esgoto (mil unid) </t>
  </si>
  <si>
    <t>Evento Societário/Data</t>
  </si>
  <si>
    <t>Tipo de Remuneração **</t>
  </si>
  <si>
    <t>Valor em Reais (R$)</t>
  </si>
  <si>
    <t>Data do direito (data corte)</t>
  </si>
  <si>
    <t>Data do Pagamento</t>
  </si>
  <si>
    <t>Exercício de 2006</t>
  </si>
  <si>
    <t>RCA 12/05/2006</t>
  </si>
  <si>
    <t xml:space="preserve">JCP </t>
  </si>
  <si>
    <t>RCA 14/07/2006</t>
  </si>
  <si>
    <t>RCA 30/10/2006</t>
  </si>
  <si>
    <t>RCA 23/03/2007</t>
  </si>
  <si>
    <t>Total Exercício de 2006</t>
  </si>
  <si>
    <t>Exercício de 2007</t>
  </si>
  <si>
    <t>RCA 25/05/2007</t>
  </si>
  <si>
    <t>RCA 31/08/2007</t>
  </si>
  <si>
    <t>RCA 19/03/2008</t>
  </si>
  <si>
    <t>Total Exercício de 2007</t>
  </si>
  <si>
    <t>RCA 25/07/2008</t>
  </si>
  <si>
    <t>RCA 19/09/2008</t>
  </si>
  <si>
    <t>RCA 27/03/2009</t>
  </si>
  <si>
    <t>Total Exercício de 2008</t>
  </si>
  <si>
    <t>RCA 26/06/2009</t>
  </si>
  <si>
    <t>RCA 24/09/2009</t>
  </si>
  <si>
    <t>RCA 26/03/2010</t>
  </si>
  <si>
    <t>Total Exercício de 2009</t>
  </si>
  <si>
    <t>Exercício de 2010</t>
  </si>
  <si>
    <t>RCA 28/06/2010</t>
  </si>
  <si>
    <t>RCA 28/09/2010</t>
  </si>
  <si>
    <t>RCA 11/03/2011</t>
  </si>
  <si>
    <t>Total Exercício de 2010</t>
  </si>
  <si>
    <t>Exercício de 2011</t>
  </si>
  <si>
    <t>RCA 25/03/2011</t>
  </si>
  <si>
    <t xml:space="preserve"> 23/05/2011</t>
  </si>
  <si>
    <t>RCA 27/06/2011</t>
  </si>
  <si>
    <t>RCA 16/09/2011</t>
  </si>
  <si>
    <t>RCA 29/02/2012</t>
  </si>
  <si>
    <t>Total Exercício de 2011</t>
  </si>
  <si>
    <t>Exercício de 2012</t>
  </si>
  <si>
    <t>RCA 16/03/2012</t>
  </si>
  <si>
    <t>RCA 18/06/2012</t>
  </si>
  <si>
    <t>RCA 14/09/2012</t>
  </si>
  <si>
    <t>RCA 22/02/2013</t>
  </si>
  <si>
    <t>Total Exercício de 2012</t>
  </si>
  <si>
    <t>Exercício de 2013</t>
  </si>
  <si>
    <t>RCA 18/03/2013</t>
  </si>
  <si>
    <t>RCA 24/06/2013</t>
  </si>
  <si>
    <t>RCA 20/09/2013</t>
  </si>
  <si>
    <t>RCA 29/01/2014</t>
  </si>
  <si>
    <t>Total Exercício de 2013</t>
  </si>
  <si>
    <t>Exercício de 2014</t>
  </si>
  <si>
    <t>RCA 21/03/2014</t>
  </si>
  <si>
    <t>RCA 23/06/2014</t>
  </si>
  <si>
    <t>RCA 19/09/2014</t>
  </si>
  <si>
    <t>RCA 18/03/2015</t>
  </si>
  <si>
    <t>Total Exercício de 2014</t>
  </si>
  <si>
    <t>Exercício de 2015</t>
  </si>
  <si>
    <t>RCA 07/05/2015</t>
  </si>
  <si>
    <t>RCA 06/08/2015</t>
  </si>
  <si>
    <t>RCA 05/11/2015</t>
  </si>
  <si>
    <t>Total Exercício de 2015</t>
  </si>
  <si>
    <t>Exercício de 2016</t>
  </si>
  <si>
    <t>RCA 05/05/2016</t>
  </si>
  <si>
    <t>RCA 11/08/2016</t>
  </si>
  <si>
    <t>RCA 09/11/2016</t>
  </si>
  <si>
    <t>RCA 09/03/2017</t>
  </si>
  <si>
    <t>Total Exercício de 2016</t>
  </si>
  <si>
    <t>Exercício de 2017</t>
  </si>
  <si>
    <t>RCA 16/03/2017</t>
  </si>
  <si>
    <t>RCA 14/06/2017</t>
  </si>
  <si>
    <t>RCA 20/09/2017</t>
  </si>
  <si>
    <t>AGE 17/11/2017</t>
  </si>
  <si>
    <t xml:space="preserve">Dividendos extraordinários </t>
  </si>
  <si>
    <t>30.11.2017</t>
  </si>
  <si>
    <t>RCA 22/02/2018</t>
  </si>
  <si>
    <t>Total Exercício de 2017</t>
  </si>
  <si>
    <t>Exercício de 2018</t>
  </si>
  <si>
    <t>RCA 21/03/2018</t>
  </si>
  <si>
    <t>AGE 07/05/2018</t>
  </si>
  <si>
    <t>RCA 20/06/2018</t>
  </si>
  <si>
    <t>RCA 19/09/2018</t>
  </si>
  <si>
    <t>RCA 28/02/2019</t>
  </si>
  <si>
    <t>Total Exercício de 2018</t>
  </si>
  <si>
    <t>Exercício de 2019</t>
  </si>
  <si>
    <t>RCA 21/03/2019</t>
  </si>
  <si>
    <t>RCA 14/06/2019</t>
  </si>
  <si>
    <t>* Períodos com distribuição pro-rata, cujos valores não estão contemplados na tabela.</t>
  </si>
  <si>
    <t xml:space="preserve">** Os valores declarados como JCP foram imputados aos dividendos mínimos obrigatórios dos respectivos exercícios. </t>
  </si>
  <si>
    <t>Exercício</t>
  </si>
  <si>
    <t>Exercício de 2008</t>
  </si>
  <si>
    <t xml:space="preserve">Exercício de 2009 </t>
  </si>
  <si>
    <t>2T19</t>
  </si>
  <si>
    <t>Receitas (milhares de R$)</t>
  </si>
  <si>
    <t>Receita Operacional Líquida de Serviços</t>
  </si>
  <si>
    <t>Serviços de água</t>
  </si>
  <si>
    <t>Serviços de Esgoto</t>
  </si>
  <si>
    <t>Receitas de resíduos sólidos</t>
  </si>
  <si>
    <t>Receitas de Construção</t>
  </si>
  <si>
    <t>Custos de Construção</t>
  </si>
  <si>
    <t>Custo dos serviços vendidos</t>
  </si>
  <si>
    <t xml:space="preserve">   Custos das vendas e dos serviços prestados</t>
  </si>
  <si>
    <t>Resultado Bruto</t>
  </si>
  <si>
    <t>Despesas com vendas</t>
  </si>
  <si>
    <t>Despesas gerais e administrativas</t>
  </si>
  <si>
    <t>Outras despesas operacionais</t>
  </si>
  <si>
    <t>Outras receitas operacionais</t>
  </si>
  <si>
    <t>Resultado da equivalência patrimonial</t>
  </si>
  <si>
    <t>Resultado Antes do Resultado Financeiro e dos Tributos</t>
  </si>
  <si>
    <t>Despesas/ Receitas Operacionais</t>
  </si>
  <si>
    <t>Resultado Financeiro</t>
  </si>
  <si>
    <t>Resultado Antes dos Tributos sobre o Lucro</t>
  </si>
  <si>
    <t>Provisão para Imposto de Renda</t>
  </si>
  <si>
    <t>Provisão para contribuição social sobre o lucro líquido</t>
  </si>
  <si>
    <t>Resultado Líquido do Período</t>
  </si>
  <si>
    <t>Receita líquida de água</t>
  </si>
  <si>
    <t>Receita líquida de esgoto</t>
  </si>
  <si>
    <t>Receita líquida de água e esgoto</t>
  </si>
  <si>
    <t>Receitas de construção</t>
  </si>
  <si>
    <t>Custos de construção</t>
  </si>
  <si>
    <t>Receita (despesa) de contrução líquida</t>
  </si>
  <si>
    <t>Custos dos Serviços Prestados + Despesas Comerciais Administrativas</t>
  </si>
  <si>
    <t>Pessoal</t>
  </si>
  <si>
    <t>Depreciações e amortizações</t>
  </si>
  <si>
    <t>Energia Elétrica</t>
  </si>
  <si>
    <t>Serviços de terceiros</t>
  </si>
  <si>
    <t>Material</t>
  </si>
  <si>
    <t>Custos operacionais diversos</t>
  </si>
  <si>
    <t>Repasse tarifário a municípios</t>
  </si>
  <si>
    <t>Provisão para créditos de liquidação duvidosa</t>
  </si>
  <si>
    <t>Créditos tributários</t>
  </si>
  <si>
    <t>Custos dos Serviços Prestados + Despesas Comerciais Administrativas (sem depreciações /amortizações)</t>
  </si>
  <si>
    <t>Outras Receitas (despesas) Operacionais</t>
  </si>
  <si>
    <t>Total de outras receitas operacionais</t>
  </si>
  <si>
    <t>Receita de serviços técnicos</t>
  </si>
  <si>
    <t>Reversão de provisão não dedutível</t>
  </si>
  <si>
    <t>Recuperação de contas baixadas</t>
  </si>
  <si>
    <t>Outras receitas</t>
  </si>
  <si>
    <t>Perdas eventuais ou extraordinárias</t>
  </si>
  <si>
    <t>Provisões não dedutíveis</t>
  </si>
  <si>
    <t>Outras despesas</t>
  </si>
  <si>
    <t>Resultado Financeiro Líquido</t>
  </si>
  <si>
    <t>Provisão para imposto de renda</t>
  </si>
  <si>
    <t>Total de despesas financeiras</t>
  </si>
  <si>
    <t>Receitas Financeiras</t>
  </si>
  <si>
    <t>Total de Receitas Financeiras</t>
  </si>
  <si>
    <t>Despesas financeiras</t>
  </si>
  <si>
    <t>Total de outras despesas operacionais</t>
  </si>
  <si>
    <t>Resultado de equivalência patrimonial</t>
  </si>
  <si>
    <t>Variações monetárias</t>
  </si>
  <si>
    <t>Variações cambiais</t>
  </si>
  <si>
    <t>Juros</t>
  </si>
  <si>
    <t>Ganho real em aplicações financeiras</t>
  </si>
  <si>
    <t>Capitalização de ativos financeiros/outros</t>
  </si>
  <si>
    <t>Juros sobre financiamentos</t>
  </si>
  <si>
    <t>Diversas</t>
  </si>
  <si>
    <t>Resultado líquido do período</t>
  </si>
  <si>
    <t>Em moeda nacional (milhares de R$)</t>
  </si>
  <si>
    <t>Linhas de financiamentos</t>
  </si>
  <si>
    <t>Curto Prazo</t>
  </si>
  <si>
    <t>RECURSOS FGTS</t>
  </si>
  <si>
    <t>FINAME</t>
  </si>
  <si>
    <t>Todos os valores expressos estão em milhares de Reais.</t>
  </si>
  <si>
    <t>DEBÊNTURES DE MERCADO - 14ª EMISSÃO</t>
  </si>
  <si>
    <t>LIBERTAS (PREVIDENCIA COMPLEMENTAR)</t>
  </si>
  <si>
    <t>CEMIG</t>
  </si>
  <si>
    <t>OUTRAS OBRIGAÇÕES</t>
  </si>
  <si>
    <t>TOTAL LONGO PRAZO (Moeda Nacional + Estrangeira)</t>
  </si>
  <si>
    <t>TOTAL CURTO PRAZO (MOEDA Nacional + Estrangeira)</t>
  </si>
  <si>
    <t>RECURSOS FGTS*</t>
  </si>
  <si>
    <t xml:space="preserve">   Realizável a longo prazo:</t>
  </si>
  <si>
    <t xml:space="preserve">Receitas Financeiras </t>
  </si>
  <si>
    <t xml:space="preserve">Despesas Financeiras </t>
  </si>
  <si>
    <t xml:space="preserve">BDMG (SOMMA) </t>
  </si>
  <si>
    <t xml:space="preserve">TESOURO NACIONAL </t>
  </si>
  <si>
    <t xml:space="preserve">NOTAS PROMISSÓRIAS </t>
  </si>
  <si>
    <t xml:space="preserve">BNDES/BNE </t>
  </si>
  <si>
    <t xml:space="preserve">BNDES/DEBÊNTURES 1ª EMISSÃO </t>
  </si>
  <si>
    <t xml:space="preserve">BNDES/DEBÊNTURES 2ª EMISSÃO </t>
  </si>
  <si>
    <t>BNDES/DEBÊNTURES 3ª EMISSÃO</t>
  </si>
  <si>
    <t xml:space="preserve">BNDES/DEBÊNTURES 4ª EMISSÃO </t>
  </si>
  <si>
    <t xml:space="preserve">1ª SERIE </t>
  </si>
  <si>
    <t xml:space="preserve">2ª SERIE </t>
  </si>
  <si>
    <t xml:space="preserve">3ª SERIE </t>
  </si>
  <si>
    <t xml:space="preserve">CAIXA/DEBÊNTURES 5ª EMISSÃO </t>
  </si>
  <si>
    <t xml:space="preserve">DEBÊNTURES DE MERCADO - 6ª EMISSÃO </t>
  </si>
  <si>
    <t xml:space="preserve">DEBÊNTURES DE MERCADO - 7ª EMISSÃO </t>
  </si>
  <si>
    <t xml:space="preserve">BNDES/DEBÊNTURES 8ª EMISSÃO </t>
  </si>
  <si>
    <t>2ª SERIE</t>
  </si>
  <si>
    <t xml:space="preserve">DEBÊNTURES DE MERCADO - 9ª EMISSÃO </t>
  </si>
  <si>
    <t>DEBÊNTURES DE MERCADO - 10ª EMISSÃO</t>
  </si>
  <si>
    <t xml:space="preserve">DEBÊNTURES DE MERCADO - 12ª EMISSÃO </t>
  </si>
  <si>
    <t xml:space="preserve">1ª SÉRIE </t>
  </si>
  <si>
    <t xml:space="preserve">2ª SÉRIE </t>
  </si>
  <si>
    <t xml:space="preserve">OUTRAS OBRIGAÇÕES </t>
  </si>
  <si>
    <t xml:space="preserve">CEMIG </t>
  </si>
  <si>
    <t xml:space="preserve">RECURSOS FGTS </t>
  </si>
  <si>
    <t xml:space="preserve">FINAME </t>
  </si>
  <si>
    <t xml:space="preserve">BNDES/DEBÊNTURES 3ª EMISSÃO </t>
  </si>
  <si>
    <t xml:space="preserve">DEBÊNTURES DE MERCADO 6ª EMISSÃO </t>
  </si>
  <si>
    <t xml:space="preserve">DEBÊNTURES DE MERCADO 7ª EMISSÃO </t>
  </si>
  <si>
    <t xml:space="preserve">DEBÊNTURES DE MERCADO 9ª EMISSÃO </t>
  </si>
  <si>
    <t xml:space="preserve">DEBÊNTURES DE MERCADO 10ª EMISSÃO </t>
  </si>
  <si>
    <t xml:space="preserve">3ª SÉRIE </t>
  </si>
  <si>
    <t>DEBÊNTURES DE MERCADO 6ª EMISSÃO</t>
  </si>
  <si>
    <t xml:space="preserve">2ª SÉRIE*** </t>
  </si>
  <si>
    <t xml:space="preserve">LIBERTAS (PREVIDENCIA COMPLEMENTAR) </t>
  </si>
  <si>
    <t xml:space="preserve">   Exigível a longo prazo: </t>
  </si>
  <si>
    <t xml:space="preserve"> Índices </t>
  </si>
  <si>
    <t>Abastecimento de Água (%)</t>
  </si>
  <si>
    <t xml:space="preserve">Nº de Unidades (Economias) </t>
  </si>
  <si>
    <t>Serviços de Esgoto (%)</t>
  </si>
  <si>
    <t xml:space="preserve"> Volume Faturado </t>
  </si>
  <si>
    <t xml:space="preserve">Dados de Faturamento e Operacionais - Controladora¹ </t>
  </si>
  <si>
    <t xml:space="preserve">Faturamento (R$/mil)² </t>
  </si>
  <si>
    <t>Relações com Investidores</t>
  </si>
  <si>
    <t>Ativo Total</t>
  </si>
  <si>
    <t>Ativo Circulante</t>
  </si>
  <si>
    <t>Ativo Não Circulante</t>
  </si>
  <si>
    <t>Passivo Circulante</t>
  </si>
  <si>
    <t>Passivo Não Circulante</t>
  </si>
  <si>
    <t>Patrimônio Líquido</t>
  </si>
  <si>
    <t>Dívida Líquida</t>
  </si>
  <si>
    <t xml:space="preserve">   Resultado Financeiro Líquido</t>
  </si>
  <si>
    <t xml:space="preserve">   Lucro (Prejuízo) Bruto</t>
  </si>
  <si>
    <t xml:space="preserve">   Lucro (Prejuízo) Líquido</t>
  </si>
  <si>
    <t>Principais Resultados (Milhões de R$)</t>
  </si>
  <si>
    <t>Destaques (Milhões de R$)</t>
  </si>
  <si>
    <t>Curto Prazo em Moeda nacional</t>
  </si>
  <si>
    <t xml:space="preserve">Curto prazo em Moeda Estrangeira </t>
  </si>
  <si>
    <t xml:space="preserve">Longo Prazo </t>
  </si>
  <si>
    <t xml:space="preserve">Em moeda nacional </t>
  </si>
  <si>
    <t xml:space="preserve">Total longo prazo - moeda nacional </t>
  </si>
  <si>
    <t>Longo prazo em moeda estrangeira</t>
  </si>
  <si>
    <t xml:space="preserve">Curto prazo + Longo prazo </t>
  </si>
  <si>
    <t xml:space="preserve"> Total CP e LP - Moeda nacional</t>
  </si>
  <si>
    <t xml:space="preserve">CP e LP em moeda estrangeira </t>
  </si>
  <si>
    <t>TOTAL CP e LP (Moeda Nacional + Estrangeira)</t>
  </si>
  <si>
    <t xml:space="preserve"> Circulante </t>
  </si>
  <si>
    <t xml:space="preserve">Não circulante </t>
  </si>
  <si>
    <t xml:space="preserve">Total do Ativo Realizável a longo prazo </t>
  </si>
  <si>
    <t xml:space="preserve"> Total do Ativo Permanente </t>
  </si>
  <si>
    <t xml:space="preserve">Total do Ativo </t>
  </si>
  <si>
    <t xml:space="preserve">Total do passivo circulante </t>
  </si>
  <si>
    <t xml:space="preserve"> Patrimônio líquido </t>
  </si>
  <si>
    <t xml:space="preserve"> Total do passivo não circulante </t>
  </si>
  <si>
    <t xml:space="preserve"> Total do patrimônio líquido </t>
  </si>
  <si>
    <t xml:space="preserve"> Total do passivo e patrimônio líquido  </t>
  </si>
  <si>
    <t xml:space="preserve">             Dividendos</t>
  </si>
  <si>
    <t>Balanço Patrimonial</t>
  </si>
  <si>
    <t>DRE (mIlhares de Reais)</t>
  </si>
  <si>
    <t xml:space="preserve"> Breakdown da DRE (mIlhares de Reais)</t>
  </si>
  <si>
    <t>Ativos financeiros investimento BRK Ambiental - Foz Jeceaba</t>
  </si>
  <si>
    <t xml:space="preserve">   Receita Líquida (Água, Esgoto e Residuos Solidos)</t>
  </si>
  <si>
    <t xml:space="preserve">Egixibilidades/Patromonio Líquido </t>
  </si>
  <si>
    <t>RCA 19/09/2019</t>
  </si>
  <si>
    <t>3T19</t>
  </si>
  <si>
    <t xml:space="preserve">  Faturamento Abastecimento de Água (%)</t>
  </si>
  <si>
    <t xml:space="preserve"> Faturamento Esgotamento Sanitário (%)</t>
  </si>
  <si>
    <t xml:space="preserve">   Volume de Esgoto Tratado (1.000 m³) (1)</t>
  </si>
  <si>
    <t xml:space="preserve">   Volume Distribuído Água (1.000 m³) (1)</t>
  </si>
  <si>
    <t>Número de Empregados (1)</t>
  </si>
  <si>
    <t xml:space="preserve">  População Atendida - Água (1)  (2) </t>
  </si>
  <si>
    <t xml:space="preserve">  População Atendida - Esgoto (1) (2) </t>
  </si>
  <si>
    <t xml:space="preserve">   Permanente:</t>
  </si>
  <si>
    <t xml:space="preserve">Total do Ativo não circulante </t>
  </si>
  <si>
    <t xml:space="preserve">Total do Ativo Circulante </t>
  </si>
  <si>
    <t>4T19</t>
  </si>
  <si>
    <t>Investimento trimestral COPASA (R$ Milhões)</t>
  </si>
  <si>
    <t>Água</t>
  </si>
  <si>
    <t>Esgoto</t>
  </si>
  <si>
    <t>Outros</t>
  </si>
  <si>
    <t>TOTAL</t>
  </si>
  <si>
    <t xml:space="preserve"> PPP do Rio Manso*</t>
  </si>
  <si>
    <t>Investimento Trimestral COPANOR (R$ Milhões)*</t>
  </si>
  <si>
    <t>Total trimestral COPASA + COPANOR</t>
  </si>
  <si>
    <t xml:space="preserve">* Valores investidos ao longo dos respectivos anos. </t>
  </si>
  <si>
    <t>** Até 05/2016, os recursos dessa subsidiária eram oriundos do Fundo Estadual de Saúde.</t>
  </si>
  <si>
    <t>Highlights Financeiros / Investimentos</t>
  </si>
  <si>
    <t>Nº de Ligações</t>
  </si>
  <si>
    <t>RCA 19/03/2020</t>
  </si>
  <si>
    <t>Total Exercício de 2019</t>
  </si>
  <si>
    <t>JCP 1T19</t>
  </si>
  <si>
    <t>JCP 2T19</t>
  </si>
  <si>
    <t>JCP 3T19</t>
  </si>
  <si>
    <t>JCP 4T19</t>
  </si>
  <si>
    <t>RCA 20/03/2020</t>
  </si>
  <si>
    <t>Convênio de cooperação técnica LP</t>
  </si>
  <si>
    <t>Convenio de cooperação técnica LP</t>
  </si>
  <si>
    <t>1T20</t>
  </si>
  <si>
    <t>JCP 1T20</t>
  </si>
  <si>
    <t>ATIVO (milhares de R$)</t>
  </si>
  <si>
    <t>PASSIVO (Milhares de R$)</t>
  </si>
  <si>
    <t xml:space="preserve">Passivo Circulante </t>
  </si>
  <si>
    <t xml:space="preserve">Passivo Não circulante </t>
  </si>
  <si>
    <t>BANCO DO BRASIL (BNY) (contrato em Dólar)</t>
  </si>
  <si>
    <t>BANCO DO BRASIL (BNY) (contrato em dólar)</t>
  </si>
  <si>
    <t>EBITDA</t>
  </si>
  <si>
    <t>JCP 2T20</t>
  </si>
  <si>
    <t>RCA 18/06/2020</t>
  </si>
  <si>
    <t>2T20</t>
  </si>
  <si>
    <t>RCA 17/09/2020</t>
  </si>
  <si>
    <t>JCP 3T20</t>
  </si>
  <si>
    <t>3T20</t>
  </si>
  <si>
    <t>AGE 19/11/2020</t>
  </si>
  <si>
    <t>Dividendos Extraordinários</t>
  </si>
  <si>
    <t>RCA 25/02/2021</t>
  </si>
  <si>
    <t>JCP 4T20</t>
  </si>
  <si>
    <t>a ser definida na AGO 2021</t>
  </si>
  <si>
    <t>Exercício de 2020</t>
  </si>
  <si>
    <t>4T20</t>
  </si>
  <si>
    <t>DEBÊNTURES DE MERCADO - 15ª EMISSÃO</t>
  </si>
  <si>
    <t>Valor por ação (R$) ***</t>
  </si>
  <si>
    <t>*** Valor Ajustado. A partir de 26/11/2020, as ações passaram a ser negociadas ex-desdobramento. Dessa forma, os proventos anteriores a essa data foram divididos por 3.</t>
  </si>
  <si>
    <t>Total Exercício de 2020</t>
  </si>
  <si>
    <t>RCA 19/03/2021</t>
  </si>
  <si>
    <t>JCP 1T21</t>
  </si>
  <si>
    <t>Até 18/05/2021</t>
  </si>
  <si>
    <t>Exercício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</si>
</sst>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_-;\-* #,##0.0_-;_-* &quot;-&quot;??_-;_-@_-"/>
    <numFmt numFmtId="168" formatCode="0.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Verdana"/>
      <family val="2"/>
    </font>
    <font>
      <b/>
      <sz val="20"/>
      <color theme="0" tint="-0.499984740745262"/>
      <name val="Verdana"/>
      <family val="2"/>
    </font>
    <font>
      <b/>
      <sz val="28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0" tint="-0.49998474074526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2" borderId="0" xfId="0" applyFont="1" applyFill="1" applyAlignment="1">
      <alignment horizontal="left" indent="3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horizontal="left" indent="1"/>
    </xf>
    <xf numFmtId="0" fontId="3" fillId="4" borderId="0" xfId="0" applyFont="1" applyFill="1"/>
    <xf numFmtId="0" fontId="0" fillId="2" borderId="0" xfId="0" applyFill="1"/>
    <xf numFmtId="0" fontId="3" fillId="4" borderId="0" xfId="0" applyFont="1" applyFill="1" applyAlignment="1">
      <alignment horizontal="left" indent="1"/>
    </xf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right" wrapText="1"/>
    </xf>
    <xf numFmtId="3" fontId="2" fillId="4" borderId="0" xfId="0" applyNumberFormat="1" applyFont="1" applyFill="1" applyAlignment="1">
      <alignment horizontal="right" wrapText="1"/>
    </xf>
    <xf numFmtId="0" fontId="2" fillId="2" borderId="0" xfId="0" applyFont="1" applyFill="1"/>
    <xf numFmtId="0" fontId="2" fillId="4" borderId="0" xfId="0" applyFont="1" applyFill="1" applyAlignment="1">
      <alignment horizontal="left" indent="1"/>
    </xf>
    <xf numFmtId="0" fontId="0" fillId="4" borderId="0" xfId="0" applyFill="1" applyAlignment="1">
      <alignment horizontal="right"/>
    </xf>
    <xf numFmtId="0" fontId="0" fillId="3" borderId="0" xfId="0" applyFill="1"/>
    <xf numFmtId="0" fontId="0" fillId="4" borderId="0" xfId="0" applyFont="1" applyFill="1" applyAlignment="1">
      <alignment horizontal="left" indent="4"/>
    </xf>
    <xf numFmtId="0" fontId="0" fillId="4" borderId="0" xfId="0" applyFill="1" applyAlignment="1">
      <alignment horizontal="left" indent="2"/>
    </xf>
    <xf numFmtId="0" fontId="0" fillId="4" borderId="0" xfId="0" applyFont="1" applyFill="1" applyAlignment="1">
      <alignment horizontal="left" indent="3"/>
    </xf>
    <xf numFmtId="0" fontId="0" fillId="4" borderId="0" xfId="0" applyFont="1" applyFill="1" applyAlignment="1">
      <alignment horizontal="left" indent="5"/>
    </xf>
    <xf numFmtId="0" fontId="5" fillId="4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right" wrapText="1"/>
    </xf>
    <xf numFmtId="0" fontId="8" fillId="3" borderId="0" xfId="0" applyFont="1" applyFill="1"/>
    <xf numFmtId="0" fontId="8" fillId="2" borderId="0" xfId="0" applyFont="1" applyFill="1"/>
    <xf numFmtId="0" fontId="8" fillId="4" borderId="0" xfId="0" applyFont="1" applyFill="1"/>
    <xf numFmtId="0" fontId="0" fillId="2" borderId="0" xfId="0" applyFill="1" applyAlignment="1">
      <alignment horizontal="left" indent="1"/>
    </xf>
    <xf numFmtId="165" fontId="0" fillId="4" borderId="0" xfId="0" applyNumberFormat="1" applyFill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0" fontId="0" fillId="4" borderId="0" xfId="0" applyFont="1" applyFill="1"/>
    <xf numFmtId="0" fontId="3" fillId="2" borderId="0" xfId="0" applyFont="1" applyFill="1"/>
    <xf numFmtId="3" fontId="5" fillId="2" borderId="0" xfId="0" applyNumberFormat="1" applyFont="1" applyFill="1" applyAlignment="1">
      <alignment horizontal="right" wrapText="1"/>
    </xf>
    <xf numFmtId="0" fontId="0" fillId="2" borderId="0" xfId="0" applyFont="1" applyFill="1"/>
    <xf numFmtId="0" fontId="6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2"/>
    </xf>
    <xf numFmtId="0" fontId="6" fillId="4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indent="2"/>
    </xf>
    <xf numFmtId="0" fontId="2" fillId="2" borderId="0" xfId="0" applyFont="1" applyFill="1" applyAlignment="1">
      <alignment wrapText="1"/>
    </xf>
    <xf numFmtId="165" fontId="0" fillId="2" borderId="0" xfId="0" applyNumberFormat="1" applyFill="1" applyAlignment="1">
      <alignment horizontal="right" wrapText="1"/>
    </xf>
    <xf numFmtId="0" fontId="5" fillId="2" borderId="0" xfId="0" applyFont="1" applyFill="1"/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left" indent="4"/>
    </xf>
    <xf numFmtId="4" fontId="2" fillId="2" borderId="0" xfId="0" applyNumberFormat="1" applyFont="1" applyFill="1" applyAlignment="1">
      <alignment horizontal="center" wrapText="1"/>
    </xf>
    <xf numFmtId="0" fontId="0" fillId="2" borderId="0" xfId="0" applyFont="1" applyFill="1" applyAlignment="1">
      <alignment horizontal="left" indent="5"/>
    </xf>
    <xf numFmtId="0" fontId="0" fillId="2" borderId="0" xfId="0" applyFill="1" applyAlignment="1">
      <alignment horizontal="center"/>
    </xf>
    <xf numFmtId="3" fontId="2" fillId="2" borderId="0" xfId="0" applyNumberFormat="1" applyFont="1" applyFill="1" applyAlignment="1">
      <alignment horizontal="right" wrapText="1"/>
    </xf>
    <xf numFmtId="0" fontId="9" fillId="2" borderId="0" xfId="0" applyFont="1" applyFill="1" applyAlignment="1"/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4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2" fillId="4" borderId="0" xfId="0" applyFont="1" applyFill="1" applyAlignment="1">
      <alignment horizontal="right" wrapText="1"/>
    </xf>
    <xf numFmtId="0" fontId="12" fillId="4" borderId="0" xfId="0" applyFont="1" applyFill="1"/>
    <xf numFmtId="0" fontId="11" fillId="2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4" fontId="15" fillId="4" borderId="0" xfId="0" applyNumberFormat="1" applyFont="1" applyFill="1" applyAlignment="1">
      <alignment vertical="center" wrapText="1"/>
    </xf>
    <xf numFmtId="14" fontId="15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14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8" fontId="15" fillId="4" borderId="0" xfId="0" applyNumberFormat="1" applyFont="1" applyFill="1" applyAlignment="1">
      <alignment horizontal="right" vertical="center" wrapText="1"/>
    </xf>
    <xf numFmtId="168" fontId="15" fillId="2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 wrapText="1"/>
    </xf>
    <xf numFmtId="4" fontId="17" fillId="4" borderId="0" xfId="0" applyNumberFormat="1" applyFont="1" applyFill="1" applyAlignment="1">
      <alignment vertical="center" wrapText="1"/>
    </xf>
    <xf numFmtId="168" fontId="17" fillId="4" borderId="0" xfId="0" applyNumberFormat="1" applyFont="1" applyFill="1" applyAlignment="1">
      <alignment horizontal="right" vertical="center" wrapText="1"/>
    </xf>
    <xf numFmtId="14" fontId="17" fillId="4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vertical="center" wrapText="1"/>
    </xf>
    <xf numFmtId="168" fontId="17" fillId="2" borderId="0" xfId="0" applyNumberFormat="1" applyFont="1" applyFill="1" applyAlignment="1">
      <alignment horizontal="right"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4" fontId="18" fillId="3" borderId="0" xfId="0" applyNumberFormat="1" applyFont="1" applyFill="1" applyAlignment="1">
      <alignment vertical="center" wrapText="1"/>
    </xf>
    <xf numFmtId="168" fontId="18" fillId="3" borderId="0" xfId="0" applyNumberFormat="1" applyFont="1" applyFill="1" applyAlignment="1">
      <alignment horizontal="right" vertical="center" wrapText="1"/>
    </xf>
    <xf numFmtId="14" fontId="18" fillId="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3" borderId="0" xfId="0" applyFont="1" applyFill="1" applyAlignment="1">
      <alignment horizontal="left" vertical="center" wrapText="1"/>
    </xf>
    <xf numFmtId="14" fontId="17" fillId="4" borderId="0" xfId="0" applyNumberFormat="1" applyFont="1" applyFill="1" applyAlignment="1">
      <alignment horizontal="right" vertical="center" wrapText="1"/>
    </xf>
    <xf numFmtId="14" fontId="17" fillId="2" borderId="0" xfId="0" applyNumberFormat="1" applyFont="1" applyFill="1" applyAlignment="1">
      <alignment horizontal="right" vertical="center" wrapText="1"/>
    </xf>
    <xf numFmtId="4" fontId="17" fillId="2" borderId="0" xfId="0" applyNumberFormat="1" applyFont="1" applyFill="1" applyAlignment="1">
      <alignment vertical="center"/>
    </xf>
    <xf numFmtId="168" fontId="17" fillId="2" borderId="0" xfId="0" applyNumberFormat="1" applyFont="1" applyFill="1" applyAlignment="1">
      <alignment horizontal="right" vertical="center"/>
    </xf>
    <xf numFmtId="14" fontId="17" fillId="2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3" fontId="4" fillId="4" borderId="0" xfId="0" applyNumberFormat="1" applyFont="1" applyFill="1" applyAlignment="1">
      <alignment horizontal="right" wrapText="1"/>
    </xf>
    <xf numFmtId="0" fontId="4" fillId="2" borderId="0" xfId="0" applyFont="1" applyFill="1"/>
    <xf numFmtId="3" fontId="4" fillId="2" borderId="0" xfId="0" applyNumberFormat="1" applyFont="1" applyFill="1" applyAlignment="1">
      <alignment horizontal="right" wrapText="1"/>
    </xf>
    <xf numFmtId="3" fontId="21" fillId="3" borderId="0" xfId="0" applyNumberFormat="1" applyFont="1" applyFill="1" applyAlignment="1">
      <alignment horizontal="right"/>
    </xf>
    <xf numFmtId="3" fontId="21" fillId="3" borderId="0" xfId="0" applyNumberFormat="1" applyFont="1" applyFill="1" applyAlignment="1">
      <alignment horizontal="right" wrapText="1"/>
    </xf>
    <xf numFmtId="0" fontId="22" fillId="3" borderId="0" xfId="0" applyFont="1" applyFill="1"/>
    <xf numFmtId="3" fontId="23" fillId="3" borderId="0" xfId="0" applyNumberFormat="1" applyFont="1" applyFill="1" applyAlignment="1">
      <alignment horizontal="right"/>
    </xf>
    <xf numFmtId="3" fontId="23" fillId="3" borderId="0" xfId="0" applyNumberFormat="1" applyFont="1" applyFill="1" applyAlignment="1">
      <alignment horizontal="right" wrapText="1"/>
    </xf>
    <xf numFmtId="0" fontId="24" fillId="3" borderId="0" xfId="0" applyFont="1" applyFill="1"/>
    <xf numFmtId="0" fontId="0" fillId="4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3" fontId="0" fillId="2" borderId="0" xfId="0" applyNumberFormat="1" applyFont="1" applyFill="1" applyAlignment="1">
      <alignment horizontal="right" wrapText="1"/>
    </xf>
    <xf numFmtId="0" fontId="23" fillId="3" borderId="0" xfId="0" applyFont="1" applyFill="1"/>
    <xf numFmtId="3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horizontal="left" indent="1"/>
    </xf>
    <xf numFmtId="0" fontId="0" fillId="4" borderId="0" xfId="0" applyFont="1" applyFill="1" applyBorder="1"/>
    <xf numFmtId="0" fontId="0" fillId="0" borderId="0" xfId="0" applyFont="1" applyAlignment="1">
      <alignment horizontal="center"/>
    </xf>
    <xf numFmtId="41" fontId="21" fillId="3" borderId="0" xfId="0" applyNumberFormat="1" applyFont="1" applyFill="1" applyAlignment="1">
      <alignment horizontal="right" wrapText="1"/>
    </xf>
    <xf numFmtId="41" fontId="23" fillId="3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horizontal="left" indent="2"/>
    </xf>
    <xf numFmtId="0" fontId="0" fillId="2" borderId="0" xfId="0" applyFont="1" applyFill="1" applyAlignment="1">
      <alignment horizontal="left" indent="2"/>
    </xf>
    <xf numFmtId="0" fontId="0" fillId="4" borderId="4" xfId="0" applyFont="1" applyFill="1" applyBorder="1"/>
    <xf numFmtId="0" fontId="0" fillId="4" borderId="5" xfId="0" applyFont="1" applyFill="1" applyBorder="1" applyAlignment="1">
      <alignment horizontal="center"/>
    </xf>
    <xf numFmtId="4" fontId="0" fillId="4" borderId="5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0" xfId="0" applyFont="1" applyFill="1" applyBorder="1" applyAlignment="1">
      <alignment horizontal="center"/>
    </xf>
    <xf numFmtId="4" fontId="0" fillId="4" borderId="0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3" fillId="3" borderId="0" xfId="0" applyFont="1" applyFill="1" applyAlignment="1">
      <alignment horizontal="left"/>
    </xf>
    <xf numFmtId="0" fontId="0" fillId="4" borderId="5" xfId="0" applyFont="1" applyFill="1" applyBorder="1"/>
    <xf numFmtId="0" fontId="0" fillId="4" borderId="1" xfId="0" applyFont="1" applyFill="1" applyBorder="1"/>
    <xf numFmtId="164" fontId="0" fillId="2" borderId="0" xfId="0" applyNumberFormat="1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3" fontId="25" fillId="4" borderId="0" xfId="0" applyNumberFormat="1" applyFont="1" applyFill="1" applyAlignment="1">
      <alignment horizontal="right" wrapText="1"/>
    </xf>
    <xf numFmtId="3" fontId="25" fillId="2" borderId="0" xfId="0" applyNumberFormat="1" applyFont="1" applyFill="1" applyAlignment="1">
      <alignment horizontal="right" wrapText="1"/>
    </xf>
    <xf numFmtId="165" fontId="2" fillId="2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165" fontId="2" fillId="2" borderId="0" xfId="0" applyNumberFormat="1" applyFont="1" applyFill="1" applyAlignment="1">
      <alignment horizontal="right" wrapText="1"/>
    </xf>
    <xf numFmtId="165" fontId="6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wrapText="1"/>
    </xf>
    <xf numFmtId="0" fontId="26" fillId="5" borderId="0" xfId="0" applyFont="1" applyFill="1" applyBorder="1" applyAlignment="1">
      <alignment horizontal="right"/>
    </xf>
    <xf numFmtId="0" fontId="26" fillId="5" borderId="0" xfId="0" applyFont="1" applyFill="1" applyAlignment="1">
      <alignment horizontal="right"/>
    </xf>
    <xf numFmtId="0" fontId="23" fillId="5" borderId="0" xfId="0" applyFont="1" applyFill="1"/>
    <xf numFmtId="0" fontId="21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 wrapText="1"/>
    </xf>
    <xf numFmtId="0" fontId="21" fillId="3" borderId="0" xfId="0" applyFont="1" applyFill="1" applyAlignment="1">
      <alignment horizontal="right" wrapText="1"/>
    </xf>
    <xf numFmtId="0" fontId="24" fillId="4" borderId="0" xfId="0" applyFont="1" applyFill="1"/>
    <xf numFmtId="0" fontId="24" fillId="2" borderId="0" xfId="0" applyFont="1" applyFill="1"/>
    <xf numFmtId="0" fontId="23" fillId="3" borderId="0" xfId="0" applyFont="1" applyFill="1" applyAlignment="1">
      <alignment horizontal="right" vertical="center"/>
    </xf>
    <xf numFmtId="0" fontId="24" fillId="0" borderId="0" xfId="0" applyFont="1"/>
    <xf numFmtId="4" fontId="24" fillId="2" borderId="0" xfId="0" applyNumberFormat="1" applyFont="1" applyFill="1" applyAlignment="1">
      <alignment horizontal="right" wrapText="1"/>
    </xf>
    <xf numFmtId="0" fontId="24" fillId="3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0" fontId="23" fillId="3" borderId="0" xfId="0" applyFont="1" applyFill="1" applyAlignment="1"/>
    <xf numFmtId="0" fontId="2" fillId="4" borderId="0" xfId="0" applyFont="1" applyFill="1" applyBorder="1"/>
    <xf numFmtId="0" fontId="5" fillId="2" borderId="0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0" fontId="0" fillId="4" borderId="0" xfId="0" applyFont="1" applyFill="1" applyBorder="1" applyAlignment="1">
      <alignment horizontal="left" indent="1"/>
    </xf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0" xfId="0" applyFont="1" applyFill="1" applyBorder="1"/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2" fillId="2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left" indent="1"/>
    </xf>
    <xf numFmtId="0" fontId="23" fillId="3" borderId="0" xfId="0" applyFont="1" applyFill="1" applyBorder="1" applyAlignment="1">
      <alignment vertical="center"/>
    </xf>
    <xf numFmtId="0" fontId="21" fillId="3" borderId="0" xfId="0" applyFont="1" applyFill="1" applyBorder="1"/>
    <xf numFmtId="0" fontId="23" fillId="3" borderId="0" xfId="0" applyFont="1" applyFill="1" applyBorder="1"/>
    <xf numFmtId="0" fontId="21" fillId="3" borderId="0" xfId="0" applyFont="1" applyFill="1" applyBorder="1" applyAlignment="1">
      <alignment wrapText="1"/>
    </xf>
    <xf numFmtId="0" fontId="23" fillId="3" borderId="0" xfId="0" applyFont="1" applyFill="1" applyBorder="1" applyAlignment="1">
      <alignment horizontal="left"/>
    </xf>
    <xf numFmtId="0" fontId="23" fillId="3" borderId="0" xfId="0" applyFont="1" applyFill="1" applyBorder="1" applyAlignment="1"/>
    <xf numFmtId="0" fontId="23" fillId="3" borderId="0" xfId="0" applyFont="1" applyFill="1" applyAlignment="1">
      <alignment wrapText="1"/>
    </xf>
    <xf numFmtId="0" fontId="26" fillId="5" borderId="0" xfId="0" applyFont="1" applyFill="1" applyAlignment="1">
      <alignment horizontal="right" vertical="center"/>
    </xf>
    <xf numFmtId="4" fontId="26" fillId="5" borderId="0" xfId="0" applyNumberFormat="1" applyFont="1" applyFill="1" applyAlignment="1">
      <alignment horizontal="right" vertical="center"/>
    </xf>
    <xf numFmtId="0" fontId="23" fillId="5" borderId="0" xfId="0" applyFont="1" applyFill="1" applyAlignment="1">
      <alignment horizontal="right" vertical="center"/>
    </xf>
    <xf numFmtId="3" fontId="0" fillId="4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26" fillId="5" borderId="0" xfId="0" applyFont="1" applyFill="1" applyAlignment="1">
      <alignment vertical="center"/>
    </xf>
    <xf numFmtId="165" fontId="0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 wrapText="1"/>
    </xf>
    <xf numFmtId="165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 wrapText="1"/>
    </xf>
    <xf numFmtId="0" fontId="7" fillId="4" borderId="0" xfId="0" applyFont="1" applyFill="1"/>
    <xf numFmtId="0" fontId="7" fillId="4" borderId="0" xfId="0" applyFont="1" applyFill="1" applyAlignment="1">
      <alignment horizontal="right"/>
    </xf>
    <xf numFmtId="165" fontId="23" fillId="3" borderId="0" xfId="0" applyNumberFormat="1" applyFont="1" applyFill="1" applyAlignment="1">
      <alignment horizontal="right"/>
    </xf>
    <xf numFmtId="165" fontId="23" fillId="3" borderId="0" xfId="0" applyNumberFormat="1" applyFont="1" applyFill="1" applyAlignment="1">
      <alignment horizontal="right" wrapText="1"/>
    </xf>
    <xf numFmtId="0" fontId="24" fillId="5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left" wrapText="1"/>
    </xf>
    <xf numFmtId="0" fontId="26" fillId="3" borderId="0" xfId="0" applyFont="1" applyFill="1" applyAlignment="1">
      <alignment horizontal="center" vertical="center" wrapText="1"/>
    </xf>
    <xf numFmtId="14" fontId="26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14" fontId="17" fillId="2" borderId="0" xfId="0" applyNumberFormat="1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 wrapText="1"/>
    </xf>
    <xf numFmtId="14" fontId="28" fillId="5" borderId="0" xfId="0" applyNumberFormat="1" applyFont="1" applyFill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0" fontId="11" fillId="2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166" fontId="0" fillId="2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5" fillId="4" borderId="4" xfId="0" applyFont="1" applyFill="1" applyBorder="1" applyAlignment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0" fillId="4" borderId="7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9" xfId="0" applyFont="1" applyFill="1" applyBorder="1" applyAlignment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26" fillId="5" borderId="1" xfId="0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right" vertical="center" wrapText="1"/>
    </xf>
    <xf numFmtId="0" fontId="26" fillId="5" borderId="1" xfId="0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25" fillId="4" borderId="0" xfId="0" applyFont="1" applyFill="1" applyAlignment="1">
      <alignment wrapText="1"/>
    </xf>
    <xf numFmtId="3" fontId="0" fillId="0" borderId="0" xfId="0" applyNumberFormat="1" applyFont="1" applyFill="1" applyAlignment="1">
      <alignment horizontal="right" wrapText="1"/>
    </xf>
    <xf numFmtId="0" fontId="23" fillId="3" borderId="0" xfId="0" applyFont="1" applyFill="1" applyAlignment="1">
      <alignment vertical="center"/>
    </xf>
    <xf numFmtId="3" fontId="3" fillId="4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5" fillId="4" borderId="5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4" borderId="0" xfId="0" applyNumberFormat="1" applyFill="1" applyAlignment="1">
      <alignment horizontal="right" wrapText="1"/>
    </xf>
    <xf numFmtId="3" fontId="0" fillId="2" borderId="0" xfId="0" applyNumberFormat="1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2" borderId="0" xfId="0" applyFill="1" applyAlignment="1">
      <alignment horizontal="right" wrapText="1"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 wrapText="1"/>
    </xf>
    <xf numFmtId="2" fontId="0" fillId="4" borderId="0" xfId="0" applyNumberForma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right" wrapText="1"/>
    </xf>
    <xf numFmtId="164" fontId="0" fillId="2" borderId="0" xfId="1" applyNumberFormat="1" applyFont="1" applyFill="1" applyAlignment="1">
      <alignment horizontal="right"/>
    </xf>
    <xf numFmtId="164" fontId="0" fillId="4" borderId="0" xfId="1" applyNumberFormat="1" applyFont="1" applyFill="1" applyAlignment="1">
      <alignment horizontal="right"/>
    </xf>
    <xf numFmtId="164" fontId="23" fillId="3" borderId="0" xfId="1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166" fontId="0" fillId="4" borderId="0" xfId="0" applyNumberFormat="1" applyFill="1" applyAlignment="1">
      <alignment horizontal="right" wrapText="1"/>
    </xf>
    <xf numFmtId="165" fontId="0" fillId="2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 wrapText="1"/>
    </xf>
    <xf numFmtId="166" fontId="6" fillId="3" borderId="0" xfId="0" applyNumberFormat="1" applyFont="1" applyFill="1" applyAlignment="1">
      <alignment horizontal="right" wrapText="1"/>
    </xf>
    <xf numFmtId="166" fontId="6" fillId="4" borderId="0" xfId="0" applyNumberFormat="1" applyFont="1" applyFill="1" applyAlignment="1">
      <alignment horizontal="right" wrapText="1"/>
    </xf>
    <xf numFmtId="166" fontId="23" fillId="3" borderId="0" xfId="0" applyNumberFormat="1" applyFont="1" applyFill="1" applyAlignment="1">
      <alignment horizontal="right" wrapText="1"/>
    </xf>
    <xf numFmtId="166" fontId="6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right" wrapText="1"/>
    </xf>
    <xf numFmtId="166" fontId="2" fillId="4" borderId="0" xfId="0" applyNumberFormat="1" applyFont="1" applyFill="1" applyAlignment="1">
      <alignment horizontal="right" wrapText="1"/>
    </xf>
    <xf numFmtId="166" fontId="23" fillId="3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0" fontId="0" fillId="0" borderId="0" xfId="0" applyFill="1"/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/>
    </xf>
    <xf numFmtId="0" fontId="23" fillId="0" borderId="0" xfId="0" applyFont="1" applyFill="1"/>
    <xf numFmtId="0" fontId="8" fillId="0" borderId="0" xfId="0" applyFont="1" applyFill="1"/>
    <xf numFmtId="0" fontId="24" fillId="0" borderId="0" xfId="0" applyFont="1" applyFill="1"/>
    <xf numFmtId="0" fontId="23" fillId="3" borderId="0" xfId="0" applyFont="1" applyFill="1" applyAlignment="1">
      <alignment horizontal="right" vertical="center" wrapText="1"/>
    </xf>
    <xf numFmtId="0" fontId="0" fillId="2" borderId="0" xfId="0" applyFill="1" applyAlignment="1">
      <alignment wrapText="1"/>
    </xf>
    <xf numFmtId="0" fontId="26" fillId="5" borderId="0" xfId="0" applyFont="1" applyFill="1" applyAlignment="1">
      <alignment horizontal="left" vertical="center"/>
    </xf>
    <xf numFmtId="0" fontId="26" fillId="5" borderId="0" xfId="0" applyFont="1" applyFill="1" applyBorder="1" applyAlignment="1">
      <alignment horizontal="left"/>
    </xf>
    <xf numFmtId="43" fontId="23" fillId="3" borderId="0" xfId="0" applyNumberFormat="1" applyFont="1" applyFill="1" applyAlignment="1">
      <alignment horizontal="right"/>
    </xf>
    <xf numFmtId="43" fontId="0" fillId="4" borderId="0" xfId="0" applyNumberFormat="1" applyFont="1" applyFill="1" applyAlignment="1">
      <alignment horizontal="right"/>
    </xf>
    <xf numFmtId="41" fontId="0" fillId="2" borderId="0" xfId="0" applyNumberFormat="1" applyFont="1" applyFill="1" applyAlignment="1">
      <alignment horizontal="right"/>
    </xf>
    <xf numFmtId="41" fontId="0" fillId="2" borderId="0" xfId="0" applyNumberFormat="1" applyFont="1" applyFill="1" applyAlignment="1">
      <alignment horizontal="right" wrapText="1"/>
    </xf>
    <xf numFmtId="41" fontId="0" fillId="4" borderId="0" xfId="0" applyNumberFormat="1" applyFont="1" applyFill="1" applyAlignment="1">
      <alignment horizontal="right"/>
    </xf>
    <xf numFmtId="41" fontId="0" fillId="4" borderId="0" xfId="0" applyNumberFormat="1" applyFont="1" applyFill="1" applyAlignment="1">
      <alignment horizontal="right" wrapText="1"/>
    </xf>
    <xf numFmtId="41" fontId="23" fillId="3" borderId="0" xfId="0" applyNumberFormat="1" applyFont="1" applyFill="1" applyAlignment="1">
      <alignment horizontal="right"/>
    </xf>
    <xf numFmtId="41" fontId="23" fillId="3" borderId="0" xfId="0" applyNumberFormat="1" applyFont="1" applyFill="1" applyAlignment="1">
      <alignment horizontal="right" vertical="center"/>
    </xf>
    <xf numFmtId="0" fontId="11" fillId="2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wrapText="1"/>
    </xf>
    <xf numFmtId="3" fontId="0" fillId="2" borderId="0" xfId="0" applyNumberFormat="1" applyFill="1" applyAlignment="1">
      <alignment wrapText="1"/>
    </xf>
    <xf numFmtId="3" fontId="0" fillId="2" borderId="0" xfId="0" applyNumberFormat="1" applyFill="1"/>
    <xf numFmtId="43" fontId="0" fillId="2" borderId="0" xfId="1" applyFont="1" applyFill="1"/>
    <xf numFmtId="167" fontId="13" fillId="2" borderId="0" xfId="1" applyNumberFormat="1" applyFont="1" applyFill="1"/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ill="1"/>
    <xf numFmtId="3" fontId="0" fillId="4" borderId="0" xfId="0" applyNumberFormat="1" applyFont="1" applyFill="1"/>
    <xf numFmtId="3" fontId="0" fillId="2" borderId="0" xfId="0" applyNumberFormat="1" applyFont="1" applyFill="1"/>
    <xf numFmtId="4" fontId="0" fillId="2" borderId="0" xfId="0" applyNumberFormat="1" applyFont="1" applyFill="1"/>
    <xf numFmtId="4" fontId="0" fillId="4" borderId="0" xfId="0" applyNumberFormat="1" applyFont="1" applyFill="1"/>
    <xf numFmtId="0" fontId="2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3" fillId="2" borderId="0" xfId="0" applyFont="1" applyFill="1"/>
    <xf numFmtId="0" fontId="22" fillId="2" borderId="0" xfId="0" applyFont="1" applyFill="1"/>
    <xf numFmtId="0" fontId="12" fillId="2" borderId="0" xfId="0" applyFont="1" applyFill="1"/>
    <xf numFmtId="0" fontId="23" fillId="2" borderId="0" xfId="0" applyFont="1" applyFill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Fill="1"/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/>
    <xf numFmtId="164" fontId="0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4" fontId="0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0" fontId="2" fillId="3" borderId="0" xfId="0" applyFont="1" applyFill="1"/>
    <xf numFmtId="165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left" wrapText="1"/>
    </xf>
    <xf numFmtId="165" fontId="2" fillId="2" borderId="0" xfId="0" applyNumberFormat="1" applyFont="1" applyFill="1" applyAlignment="1">
      <alignment horizontal="left" wrapText="1"/>
    </xf>
    <xf numFmtId="1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1" fontId="0" fillId="4" borderId="0" xfId="0" applyNumberFormat="1" applyFont="1" applyFill="1" applyAlignment="1">
      <alignment horizontal="right"/>
    </xf>
    <xf numFmtId="1" fontId="0" fillId="4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3" fontId="0" fillId="2" borderId="0" xfId="0" applyNumberFormat="1" applyFont="1" applyFill="1" applyAlignment="1">
      <alignment horizontal="center" vertical="center"/>
    </xf>
    <xf numFmtId="3" fontId="7" fillId="4" borderId="0" xfId="0" applyNumberFormat="1" applyFont="1" applyFill="1"/>
    <xf numFmtId="3" fontId="7" fillId="4" borderId="0" xfId="0" applyNumberFormat="1" applyFont="1" applyFill="1" applyAlignment="1">
      <alignment horizontal="right"/>
    </xf>
    <xf numFmtId="166" fontId="6" fillId="3" borderId="0" xfId="0" applyNumberFormat="1" applyFont="1" applyFill="1" applyAlignment="1">
      <alignment horizontal="right"/>
    </xf>
    <xf numFmtId="166" fontId="6" fillId="4" borderId="0" xfId="0" applyNumberFormat="1" applyFont="1" applyFill="1" applyAlignment="1">
      <alignment horizontal="right"/>
    </xf>
    <xf numFmtId="166" fontId="0" fillId="4" borderId="0" xfId="1" applyNumberFormat="1" applyFont="1" applyFill="1" applyAlignment="1">
      <alignment horizontal="right"/>
    </xf>
    <xf numFmtId="166" fontId="0" fillId="2" borderId="0" xfId="1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0" fillId="2" borderId="0" xfId="0" applyFill="1" applyBorder="1"/>
    <xf numFmtId="41" fontId="0" fillId="2" borderId="0" xfId="0" applyNumberFormat="1" applyFont="1" applyFill="1" applyAlignment="1">
      <alignment wrapText="1"/>
    </xf>
    <xf numFmtId="41" fontId="0" fillId="4" borderId="0" xfId="0" applyNumberFormat="1" applyFont="1" applyFill="1" applyAlignment="1">
      <alignment wrapText="1"/>
    </xf>
    <xf numFmtId="41" fontId="0" fillId="2" borderId="0" xfId="0" applyNumberFormat="1" applyFont="1" applyFill="1" applyAlignment="1">
      <alignment horizontal="left" wrapText="1"/>
    </xf>
    <xf numFmtId="41" fontId="0" fillId="4" borderId="0" xfId="0" applyNumberFormat="1" applyFont="1" applyFill="1" applyAlignment="1">
      <alignment horizontal="left" wrapText="1"/>
    </xf>
    <xf numFmtId="0" fontId="0" fillId="2" borderId="5" xfId="0" applyFont="1" applyFill="1" applyBorder="1" applyAlignment="1"/>
    <xf numFmtId="0" fontId="0" fillId="2" borderId="1" xfId="0" applyFont="1" applyFill="1" applyBorder="1" applyAlignment="1"/>
    <xf numFmtId="0" fontId="23" fillId="2" borderId="0" xfId="0" applyFont="1" applyFill="1" applyAlignment="1">
      <alignment wrapText="1"/>
    </xf>
    <xf numFmtId="3" fontId="23" fillId="2" borderId="0" xfId="0" applyNumberFormat="1" applyFont="1" applyFill="1" applyAlignment="1">
      <alignment horizontal="right" wrapText="1"/>
    </xf>
    <xf numFmtId="0" fontId="0" fillId="4" borderId="0" xfId="0" applyFill="1" applyAlignment="1">
      <alignment horizontal="lef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1" fontId="24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6FADD3"/>
      <color rgb="FF52B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ividendos!A1"/><Relationship Id="rId3" Type="http://schemas.openxmlformats.org/officeDocument/2006/relationships/hyperlink" Target="#Endividamento!A1"/><Relationship Id="rId7" Type="http://schemas.openxmlformats.org/officeDocument/2006/relationships/hyperlink" Target="#'Breakdown Categoria'!A1"/><Relationship Id="rId2" Type="http://schemas.openxmlformats.org/officeDocument/2006/relationships/hyperlink" Target="#DRE!A1"/><Relationship Id="rId1" Type="http://schemas.openxmlformats.org/officeDocument/2006/relationships/image" Target="../media/image1.png"/><Relationship Id="rId6" Type="http://schemas.openxmlformats.org/officeDocument/2006/relationships/hyperlink" Target="#DadosOperacionais!A1"/><Relationship Id="rId5" Type="http://schemas.openxmlformats.org/officeDocument/2006/relationships/hyperlink" Target="#HighlightsFinanc_Invest!A1"/><Relationship Id="rId4" Type="http://schemas.openxmlformats.org/officeDocument/2006/relationships/hyperlink" Target="#BalancoPatrimoni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10</xdr:row>
      <xdr:rowOff>133350</xdr:rowOff>
    </xdr:from>
    <xdr:to>
      <xdr:col>6</xdr:col>
      <xdr:colOff>202318</xdr:colOff>
      <xdr:row>19</xdr:row>
      <xdr:rowOff>14100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228850"/>
          <a:ext cx="3450343" cy="171907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5719</xdr:rowOff>
    </xdr:from>
    <xdr:to>
      <xdr:col>11</xdr:col>
      <xdr:colOff>194344</xdr:colOff>
      <xdr:row>4</xdr:row>
      <xdr:rowOff>35719</xdr:rowOff>
    </xdr:to>
    <xdr:sp macro="" textlink="">
      <xdr:nvSpPr>
        <xdr:cNvPr id="4" name="Retângulo 3">
          <a:hlinkClick xmlns:r="http://schemas.openxmlformats.org/officeDocument/2006/relationships" r:id="rId2"/>
        </xdr:cNvPr>
        <xdr:cNvSpPr/>
      </xdr:nvSpPr>
      <xdr:spPr>
        <a:xfrm>
          <a:off x="4857750" y="196219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DRE</a:t>
          </a:r>
        </a:p>
      </xdr:txBody>
    </xdr:sp>
    <xdr:clientData/>
  </xdr:twoCellAnchor>
  <xdr:twoCellAnchor>
    <xdr:from>
      <xdr:col>8</xdr:col>
      <xdr:colOff>0</xdr:colOff>
      <xdr:row>9</xdr:row>
      <xdr:rowOff>136688</xdr:rowOff>
    </xdr:from>
    <xdr:to>
      <xdr:col>11</xdr:col>
      <xdr:colOff>194344</xdr:colOff>
      <xdr:row>13</xdr:row>
      <xdr:rowOff>166688</xdr:rowOff>
    </xdr:to>
    <xdr:sp macro="" textlink="">
      <xdr:nvSpPr>
        <xdr:cNvPr id="5" name="Retângulo 4">
          <a:hlinkClick xmlns:r="http://schemas.openxmlformats.org/officeDocument/2006/relationships" r:id="rId3"/>
        </xdr:cNvPr>
        <xdr:cNvSpPr/>
      </xdr:nvSpPr>
      <xdr:spPr>
        <a:xfrm>
          <a:off x="4857750" y="2041688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Endividamento</a:t>
          </a:r>
        </a:p>
      </xdr:txBody>
    </xdr:sp>
    <xdr:clientData/>
  </xdr:twoCellAnchor>
  <xdr:twoCellAnchor>
    <xdr:from>
      <xdr:col>8</xdr:col>
      <xdr:colOff>0</xdr:colOff>
      <xdr:row>4</xdr:row>
      <xdr:rowOff>160500</xdr:rowOff>
    </xdr:from>
    <xdr:to>
      <xdr:col>11</xdr:col>
      <xdr:colOff>194344</xdr:colOff>
      <xdr:row>9</xdr:row>
      <xdr:rowOff>0</xdr:rowOff>
    </xdr:to>
    <xdr:sp macro="" textlink="">
      <xdr:nvSpPr>
        <xdr:cNvPr id="6" name="Retângulo 5">
          <a:hlinkClick xmlns:r="http://schemas.openxmlformats.org/officeDocument/2006/relationships" r:id="rId4"/>
        </xdr:cNvPr>
        <xdr:cNvSpPr/>
      </xdr:nvSpPr>
      <xdr:spPr>
        <a:xfrm>
          <a:off x="4857750" y="1113000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Balanço Patrimonial</a:t>
          </a:r>
        </a:p>
      </xdr:txBody>
    </xdr:sp>
    <xdr:clientData/>
  </xdr:twoCellAnchor>
  <xdr:twoCellAnchor>
    <xdr:from>
      <xdr:col>8</xdr:col>
      <xdr:colOff>0</xdr:colOff>
      <xdr:row>14</xdr:row>
      <xdr:rowOff>118000</xdr:rowOff>
    </xdr:from>
    <xdr:to>
      <xdr:col>11</xdr:col>
      <xdr:colOff>194344</xdr:colOff>
      <xdr:row>20</xdr:row>
      <xdr:rowOff>7937</xdr:rowOff>
    </xdr:to>
    <xdr:sp macro="" textlink="">
      <xdr:nvSpPr>
        <xdr:cNvPr id="8" name="Retângulo 7">
          <a:hlinkClick xmlns:r="http://schemas.openxmlformats.org/officeDocument/2006/relationships" r:id="rId5"/>
        </xdr:cNvPr>
        <xdr:cNvSpPr/>
      </xdr:nvSpPr>
      <xdr:spPr>
        <a:xfrm>
          <a:off x="4889500" y="2975500"/>
          <a:ext cx="2027907" cy="1159937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Highlights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Financeiros</a:t>
          </a:r>
          <a:r>
            <a:rPr lang="pt-BR" sz="2000" b="1" baseline="0">
              <a:latin typeface="+mn-lt"/>
              <a:ea typeface="Verdana" panose="020B0604030504040204" pitchFamily="34" charset="0"/>
            </a:rPr>
            <a:t> e Investimentos</a:t>
          </a:r>
          <a:endParaRPr lang="pt-BR" sz="2000" b="1">
            <a:latin typeface="+mn-lt"/>
            <a:ea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20</xdr:row>
      <xdr:rowOff>176375</xdr:rowOff>
    </xdr:from>
    <xdr:to>
      <xdr:col>11</xdr:col>
      <xdr:colOff>182437</xdr:colOff>
      <xdr:row>24</xdr:row>
      <xdr:rowOff>0</xdr:rowOff>
    </xdr:to>
    <xdr:sp macro="" textlink="">
      <xdr:nvSpPr>
        <xdr:cNvPr id="9" name="Retângulo 8">
          <a:hlinkClick xmlns:r="http://schemas.openxmlformats.org/officeDocument/2006/relationships" r:id="rId6"/>
        </xdr:cNvPr>
        <xdr:cNvSpPr/>
      </xdr:nvSpPr>
      <xdr:spPr>
        <a:xfrm>
          <a:off x="4857750" y="4301891"/>
          <a:ext cx="2004093" cy="793984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Dados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Operacionais</a:t>
          </a:r>
        </a:p>
      </xdr:txBody>
    </xdr:sp>
    <xdr:clientData/>
  </xdr:twoCellAnchor>
  <xdr:twoCellAnchor>
    <xdr:from>
      <xdr:col>8</xdr:col>
      <xdr:colOff>0</xdr:colOff>
      <xdr:row>24</xdr:row>
      <xdr:rowOff>142641</xdr:rowOff>
    </xdr:from>
    <xdr:to>
      <xdr:col>11</xdr:col>
      <xdr:colOff>182437</xdr:colOff>
      <xdr:row>28</xdr:row>
      <xdr:rowOff>172641</xdr:rowOff>
    </xdr:to>
    <xdr:sp macro="" textlink="">
      <xdr:nvSpPr>
        <xdr:cNvPr id="10" name="Retângulo 9">
          <a:hlinkClick xmlns:r="http://schemas.openxmlformats.org/officeDocument/2006/relationships" r:id="rId7"/>
        </xdr:cNvPr>
        <xdr:cNvSpPr/>
      </xdr:nvSpPr>
      <xdr:spPr>
        <a:xfrm>
          <a:off x="4857750" y="5238516"/>
          <a:ext cx="2004093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extrusionH="76200" contourW="12700">
          <a:bevelT/>
          <a:extrusionClr>
            <a:schemeClr val="bg1"/>
          </a:extrusionClr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Breakdown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Categoria</a:t>
          </a:r>
        </a:p>
        <a:p>
          <a:pPr algn="l"/>
          <a:endParaRPr lang="pt-BR" sz="1100"/>
        </a:p>
      </xdr:txBody>
    </xdr:sp>
    <xdr:clientData/>
  </xdr:twoCellAnchor>
  <xdr:twoCellAnchor>
    <xdr:from>
      <xdr:col>8</xdr:col>
      <xdr:colOff>0</xdr:colOff>
      <xdr:row>29</xdr:row>
      <xdr:rowOff>112875</xdr:rowOff>
    </xdr:from>
    <xdr:to>
      <xdr:col>11</xdr:col>
      <xdr:colOff>178469</xdr:colOff>
      <xdr:row>33</xdr:row>
      <xdr:rowOff>142875</xdr:rowOff>
    </xdr:to>
    <xdr:sp macro="" textlink="">
      <xdr:nvSpPr>
        <xdr:cNvPr id="3" name="Retângulo 2">
          <a:hlinkClick xmlns:r="http://schemas.openxmlformats.org/officeDocument/2006/relationships" r:id="rId8"/>
        </xdr:cNvPr>
        <xdr:cNvSpPr/>
      </xdr:nvSpPr>
      <xdr:spPr>
        <a:xfrm>
          <a:off x="4857750" y="6161250"/>
          <a:ext cx="2000125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Dividendos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0</xdr:rowOff>
    </xdr:from>
    <xdr:to>
      <xdr:col>0</xdr:col>
      <xdr:colOff>2797175</xdr:colOff>
      <xdr:row>0</xdr:row>
      <xdr:rowOff>1191164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0"/>
          <a:ext cx="2390775" cy="1191164"/>
        </a:xfrm>
        <a:prstGeom prst="rect">
          <a:avLst/>
        </a:prstGeom>
      </xdr:spPr>
    </xdr:pic>
    <xdr:clientData/>
  </xdr:twoCellAnchor>
  <xdr:twoCellAnchor>
    <xdr:from>
      <xdr:col>8</xdr:col>
      <xdr:colOff>419100</xdr:colOff>
      <xdr:row>0</xdr:row>
      <xdr:rowOff>371475</xdr:rowOff>
    </xdr:from>
    <xdr:to>
      <xdr:col>9</xdr:col>
      <xdr:colOff>286500</xdr:colOff>
      <xdr:row>0</xdr:row>
      <xdr:rowOff>885825</xdr:rowOff>
    </xdr:to>
    <xdr:sp macro="" textlink="">
      <xdr:nvSpPr>
        <xdr:cNvPr id="2" name="Seta para a Esquerda 1">
          <a:hlinkClick xmlns:r="http://schemas.openxmlformats.org/officeDocument/2006/relationships" r:id="rId2"/>
        </xdr:cNvPr>
        <xdr:cNvSpPr/>
      </xdr:nvSpPr>
      <xdr:spPr>
        <a:xfrm>
          <a:off x="6019800" y="371475"/>
          <a:ext cx="705600" cy="51435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506186</xdr:colOff>
      <xdr:row>0</xdr:row>
      <xdr:rowOff>0</xdr:rowOff>
    </xdr:from>
    <xdr:to>
      <xdr:col>0</xdr:col>
      <xdr:colOff>2906485</xdr:colOff>
      <xdr:row>0</xdr:row>
      <xdr:rowOff>1238250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186" y="0"/>
          <a:ext cx="2400299" cy="1238250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0</xdr:row>
      <xdr:rowOff>504825</xdr:rowOff>
    </xdr:from>
    <xdr:to>
      <xdr:col>10</xdr:col>
      <xdr:colOff>124575</xdr:colOff>
      <xdr:row>0</xdr:row>
      <xdr:rowOff>1019625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4562475" y="504825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556684</xdr:colOff>
      <xdr:row>0</xdr:row>
      <xdr:rowOff>0</xdr:rowOff>
    </xdr:from>
    <xdr:to>
      <xdr:col>0</xdr:col>
      <xdr:colOff>2956983</xdr:colOff>
      <xdr:row>0</xdr:row>
      <xdr:rowOff>1238250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0"/>
          <a:ext cx="2400299" cy="1238250"/>
        </a:xfrm>
        <a:prstGeom prst="rect">
          <a:avLst/>
        </a:prstGeom>
      </xdr:spPr>
    </xdr:pic>
    <xdr:clientData/>
  </xdr:twoCellAnchor>
  <xdr:twoCellAnchor>
    <xdr:from>
      <xdr:col>7</xdr:col>
      <xdr:colOff>571500</xdr:colOff>
      <xdr:row>0</xdr:row>
      <xdr:rowOff>381000</xdr:rowOff>
    </xdr:from>
    <xdr:to>
      <xdr:col>8</xdr:col>
      <xdr:colOff>305550</xdr:colOff>
      <xdr:row>0</xdr:row>
      <xdr:rowOff>895800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5962650" y="381000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2809874</xdr:colOff>
      <xdr:row>0</xdr:row>
      <xdr:rowOff>1238250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0"/>
          <a:ext cx="2400299" cy="1238250"/>
        </a:xfrm>
        <a:prstGeom prst="rect">
          <a:avLst/>
        </a:prstGeom>
      </xdr:spPr>
    </xdr:pic>
    <xdr:clientData/>
  </xdr:twoCellAnchor>
  <xdr:twoCellAnchor>
    <xdr:from>
      <xdr:col>7</xdr:col>
      <xdr:colOff>226482</xdr:colOff>
      <xdr:row>0</xdr:row>
      <xdr:rowOff>459316</xdr:rowOff>
    </xdr:from>
    <xdr:to>
      <xdr:col>8</xdr:col>
      <xdr:colOff>308725</xdr:colOff>
      <xdr:row>0</xdr:row>
      <xdr:rowOff>974116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5359399" y="459316"/>
          <a:ext cx="897159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0</xdr:col>
      <xdr:colOff>2819400</xdr:colOff>
      <xdr:row>0</xdr:row>
      <xdr:rowOff>1257603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2524125" cy="1257603"/>
        </a:xfrm>
        <a:prstGeom prst="rect">
          <a:avLst/>
        </a:prstGeom>
      </xdr:spPr>
    </xdr:pic>
    <xdr:clientData/>
  </xdr:twoCellAnchor>
  <xdr:twoCellAnchor>
    <xdr:from>
      <xdr:col>8</xdr:col>
      <xdr:colOff>581025</xdr:colOff>
      <xdr:row>0</xdr:row>
      <xdr:rowOff>352425</xdr:rowOff>
    </xdr:from>
    <xdr:to>
      <xdr:col>9</xdr:col>
      <xdr:colOff>324600</xdr:colOff>
      <xdr:row>0</xdr:row>
      <xdr:rowOff>867225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4429125" y="352425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0</xdr:rowOff>
    </xdr:from>
    <xdr:to>
      <xdr:col>0</xdr:col>
      <xdr:colOff>2695575</xdr:colOff>
      <xdr:row>0</xdr:row>
      <xdr:rowOff>1153197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0"/>
          <a:ext cx="2314574" cy="1153197"/>
        </a:xfrm>
        <a:prstGeom prst="rect">
          <a:avLst/>
        </a:prstGeom>
      </xdr:spPr>
    </xdr:pic>
    <xdr:clientData/>
  </xdr:twoCellAnchor>
  <xdr:twoCellAnchor>
    <xdr:from>
      <xdr:col>8</xdr:col>
      <xdr:colOff>552450</xdr:colOff>
      <xdr:row>0</xdr:row>
      <xdr:rowOff>419100</xdr:rowOff>
    </xdr:from>
    <xdr:to>
      <xdr:col>9</xdr:col>
      <xdr:colOff>315075</xdr:colOff>
      <xdr:row>0</xdr:row>
      <xdr:rowOff>933900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5343525" y="419100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</xdr:rowOff>
    </xdr:from>
    <xdr:to>
      <xdr:col>1</xdr:col>
      <xdr:colOff>722313</xdr:colOff>
      <xdr:row>0</xdr:row>
      <xdr:rowOff>1036527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"/>
          <a:ext cx="1722438" cy="1027002"/>
        </a:xfrm>
        <a:prstGeom prst="rect">
          <a:avLst/>
        </a:prstGeom>
      </xdr:spPr>
    </xdr:pic>
    <xdr:clientData/>
  </xdr:twoCellAnchor>
  <xdr:twoCellAnchor>
    <xdr:from>
      <xdr:col>3</xdr:col>
      <xdr:colOff>311152</xdr:colOff>
      <xdr:row>0</xdr:row>
      <xdr:rowOff>404813</xdr:rowOff>
    </xdr:from>
    <xdr:to>
      <xdr:col>3</xdr:col>
      <xdr:colOff>873126</xdr:colOff>
      <xdr:row>0</xdr:row>
      <xdr:rowOff>849313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 flipV="1">
          <a:off x="3517902" y="404813"/>
          <a:ext cx="561974" cy="4445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DIVULGA&#199;&#195;O%20DE%20RESULTADOS/RESULTADOS%20TRIMESTRAIS/2020/3T20/DADOS%20RECEBIDOS/Contabilidade/Bal09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DIVULGA&#199;&#195;O%20DE%20RESULTADOS/RESULTADOS%20TRIMESTRAIS/2020/4T20/PLANILHA%20BASE%204T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DIVULGA&#199;&#195;O%20DE%20RESULTADOS/RESULTADOS%20TRIMESTRAIS/2020/3T20/PLANILHA%20BASE%203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Quadro 5"/>
      <sheetName val="Quadro 6"/>
      <sheetName val="Quadro 7"/>
      <sheetName val="F.01 CSMG"/>
      <sheetName val="Planilha1"/>
      <sheetName val="DF Ind. - Ativo"/>
      <sheetName val="DF Ind. - Passivo"/>
      <sheetName val="DF Ind. - Resultado Período"/>
      <sheetName val="DF Ind. - DMPL - 31032017"/>
      <sheetName val="bal CSMG032017"/>
    </sheetNames>
    <sheetDataSet>
      <sheetData sheetId="0">
        <row r="28">
          <cell r="B28">
            <v>202966</v>
          </cell>
        </row>
        <row r="29">
          <cell r="B29">
            <v>82431</v>
          </cell>
        </row>
        <row r="30">
          <cell r="B30">
            <v>85319</v>
          </cell>
        </row>
        <row r="31">
          <cell r="B31">
            <v>2125</v>
          </cell>
        </row>
        <row r="32">
          <cell r="B32">
            <v>268688</v>
          </cell>
        </row>
        <row r="33">
          <cell r="B33">
            <v>592939</v>
          </cell>
        </row>
        <row r="34">
          <cell r="B34">
            <v>27029</v>
          </cell>
        </row>
        <row r="35">
          <cell r="B35">
            <v>64903</v>
          </cell>
        </row>
        <row r="36">
          <cell r="B36">
            <v>29301</v>
          </cell>
        </row>
        <row r="37">
          <cell r="B37">
            <v>1232009</v>
          </cell>
        </row>
        <row r="40">
          <cell r="B40">
            <v>163151</v>
          </cell>
        </row>
        <row r="42">
          <cell r="B42">
            <v>5486899</v>
          </cell>
        </row>
        <row r="43">
          <cell r="B43">
            <v>1514377</v>
          </cell>
        </row>
        <row r="75">
          <cell r="B75">
            <v>203751</v>
          </cell>
        </row>
        <row r="76">
          <cell r="B76">
            <v>18225</v>
          </cell>
        </row>
        <row r="77">
          <cell r="B77">
            <v>166628</v>
          </cell>
        </row>
        <row r="78">
          <cell r="B78">
            <v>207961</v>
          </cell>
        </row>
        <row r="79">
          <cell r="B79">
            <v>362218</v>
          </cell>
        </row>
        <row r="80">
          <cell r="B80">
            <v>17959</v>
          </cell>
        </row>
        <row r="81">
          <cell r="B81">
            <v>55180</v>
          </cell>
        </row>
        <row r="82">
          <cell r="B82">
            <v>79953</v>
          </cell>
        </row>
        <row r="83">
          <cell r="B83">
            <v>181630</v>
          </cell>
        </row>
        <row r="85">
          <cell r="B85">
            <v>3066</v>
          </cell>
        </row>
        <row r="86">
          <cell r="B86">
            <v>20085</v>
          </cell>
        </row>
        <row r="87">
          <cell r="B87">
            <v>59857</v>
          </cell>
        </row>
        <row r="89">
          <cell r="B89">
            <v>91085</v>
          </cell>
        </row>
        <row r="96">
          <cell r="B96">
            <v>1150055</v>
          </cell>
        </row>
        <row r="97">
          <cell r="B97">
            <v>1606270</v>
          </cell>
        </row>
        <row r="98">
          <cell r="B98">
            <v>14786</v>
          </cell>
        </row>
        <row r="99">
          <cell r="B99">
            <v>265903</v>
          </cell>
        </row>
        <row r="100">
          <cell r="B100">
            <v>150883</v>
          </cell>
        </row>
        <row r="102">
          <cell r="B102">
            <v>138940</v>
          </cell>
        </row>
        <row r="105">
          <cell r="B105">
            <v>88511</v>
          </cell>
        </row>
        <row r="111">
          <cell r="B111">
            <v>3402385</v>
          </cell>
        </row>
        <row r="112">
          <cell r="B112">
            <v>-8576</v>
          </cell>
        </row>
        <row r="113">
          <cell r="B113">
            <v>3378939</v>
          </cell>
        </row>
        <row r="114">
          <cell r="B114">
            <v>-22462</v>
          </cell>
        </row>
        <row r="115">
          <cell r="B115">
            <v>395402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."/>
      <sheetName val="OPER_FIN 3P TRI"/>
      <sheetName val="FC 2P"/>
      <sheetName val="Apresentação - Mercado"/>
      <sheetName val="Apresentação - Interna"/>
    </sheetNames>
    <sheetDataSet>
      <sheetData sheetId="0">
        <row r="274">
          <cell r="B274">
            <v>41</v>
          </cell>
        </row>
        <row r="275">
          <cell r="B275">
            <v>65</v>
          </cell>
        </row>
        <row r="276">
          <cell r="B276">
            <v>26</v>
          </cell>
        </row>
        <row r="278">
          <cell r="B278">
            <v>7</v>
          </cell>
        </row>
        <row r="411">
          <cell r="B411">
            <v>50828.859429999997</v>
          </cell>
        </row>
        <row r="412">
          <cell r="B412">
            <v>655067.11314999987</v>
          </cell>
        </row>
        <row r="413">
          <cell r="B413">
            <v>107550.36842000001</v>
          </cell>
        </row>
        <row r="414">
          <cell r="B414">
            <v>34900.033380000001</v>
          </cell>
        </row>
        <row r="415">
          <cell r="B415">
            <v>56080.623730000007</v>
          </cell>
        </row>
        <row r="416">
          <cell r="B416">
            <v>904426.99810999981</v>
          </cell>
        </row>
        <row r="419">
          <cell r="B419">
            <v>19042.147840000001</v>
          </cell>
        </row>
        <row r="420">
          <cell r="B420">
            <v>117408.15751</v>
          </cell>
        </row>
        <row r="421">
          <cell r="B421">
            <v>11048.11795</v>
          </cell>
        </row>
        <row r="422">
          <cell r="B422">
            <v>3299.4757500000001</v>
          </cell>
        </row>
        <row r="423">
          <cell r="B423">
            <v>5600.8109599999998</v>
          </cell>
        </row>
        <row r="424">
          <cell r="B424">
            <v>156398.71001000004</v>
          </cell>
        </row>
        <row r="427">
          <cell r="B427">
            <v>620.46433333333334</v>
          </cell>
        </row>
        <row r="428">
          <cell r="B428">
            <v>4155.8819999999996</v>
          </cell>
        </row>
        <row r="429">
          <cell r="B429">
            <v>444.34266666666667</v>
          </cell>
        </row>
        <row r="430">
          <cell r="B430">
            <v>36.662999999999997</v>
          </cell>
        </row>
        <row r="431">
          <cell r="B431">
            <v>75.716333333333324</v>
          </cell>
        </row>
        <row r="432">
          <cell r="B432">
            <v>5333.0683333333327</v>
          </cell>
        </row>
        <row r="435">
          <cell r="B435">
            <v>591.78633333333335</v>
          </cell>
        </row>
        <row r="436">
          <cell r="B436">
            <v>3338.393</v>
          </cell>
        </row>
        <row r="437">
          <cell r="B437">
            <v>269.69</v>
          </cell>
        </row>
        <row r="438">
          <cell r="B438">
            <v>30.013999999999999</v>
          </cell>
        </row>
        <row r="439">
          <cell r="B439">
            <v>67.138333333333335</v>
          </cell>
        </row>
        <row r="440">
          <cell r="B440">
            <v>110.212</v>
          </cell>
        </row>
        <row r="441">
          <cell r="B441">
            <v>4407.233666666667</v>
          </cell>
        </row>
        <row r="452">
          <cell r="B452">
            <v>23359.758290000002</v>
          </cell>
        </row>
        <row r="453">
          <cell r="B453">
            <v>376154.89895999996</v>
          </cell>
        </row>
        <row r="454">
          <cell r="B454">
            <v>77797.165689999994</v>
          </cell>
        </row>
        <row r="455">
          <cell r="B455">
            <v>19416.910789999998</v>
          </cell>
        </row>
        <row r="456">
          <cell r="B456">
            <v>33614.900999999998</v>
          </cell>
        </row>
        <row r="457">
          <cell r="B457">
            <v>530343.63472999993</v>
          </cell>
        </row>
        <row r="460">
          <cell r="B460">
            <v>10965.82365</v>
          </cell>
        </row>
        <row r="461">
          <cell r="B461">
            <v>82293.664229999995</v>
          </cell>
        </row>
        <row r="462">
          <cell r="B462">
            <v>8968.1113000000005</v>
          </cell>
        </row>
        <row r="463">
          <cell r="B463">
            <v>2064.0859499999997</v>
          </cell>
        </row>
        <row r="464">
          <cell r="B464">
            <v>3916.5041100000003</v>
          </cell>
        </row>
        <row r="465">
          <cell r="B465">
            <v>108208.18923999999</v>
          </cell>
        </row>
        <row r="468">
          <cell r="B468">
            <v>374.84266666666667</v>
          </cell>
        </row>
        <row r="469">
          <cell r="B469">
            <v>2929.9463333333333</v>
          </cell>
        </row>
        <row r="470">
          <cell r="B470">
            <v>335.3366666666667</v>
          </cell>
        </row>
        <row r="471">
          <cell r="B471">
            <v>22.808666666666667</v>
          </cell>
        </row>
        <row r="472">
          <cell r="B472">
            <v>40.474666666666664</v>
          </cell>
        </row>
        <row r="473">
          <cell r="B473">
            <v>3703.4089999999997</v>
          </cell>
        </row>
        <row r="476">
          <cell r="B476">
            <v>354.10166666666669</v>
          </cell>
        </row>
        <row r="477">
          <cell r="B477">
            <v>2183.9886666666666</v>
          </cell>
        </row>
        <row r="478">
          <cell r="B478">
            <v>193.09899999999999</v>
          </cell>
        </row>
        <row r="479">
          <cell r="B479">
            <v>18.315000000000001</v>
          </cell>
        </row>
        <row r="480">
          <cell r="B480">
            <v>35.041333333333334</v>
          </cell>
        </row>
        <row r="481">
          <cell r="B481">
            <v>75.629333333333335</v>
          </cell>
        </row>
        <row r="482">
          <cell r="B482">
            <v>2860.1750000000002</v>
          </cell>
        </row>
        <row r="638">
          <cell r="B638">
            <v>3402385</v>
          </cell>
        </row>
        <row r="639">
          <cell r="B639">
            <v>-8576</v>
          </cell>
        </row>
        <row r="640">
          <cell r="B640">
            <v>3147591</v>
          </cell>
        </row>
        <row r="641">
          <cell r="B641">
            <v>-84788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Compar. 1T20"/>
      <sheetName val=" RELEASE DESTAQUES E GRAFICOS"/>
      <sheetName val="OPER 2P"/>
      <sheetName val="OPER_FIN 3P TRI"/>
      <sheetName val="FINANC 2P"/>
      <sheetName val="COMENT DESEMP"/>
      <sheetName val="Balanço 2P"/>
      <sheetName val="DRE 2P"/>
      <sheetName val="FC 2P "/>
      <sheetName val="FC 2P"/>
      <sheetName val="END."/>
      <sheetName val="ANTIGOS  "/>
      <sheetName val="graf portugues em atu"/>
      <sheetName val="18-01-2021"/>
      <sheetName val="Graficos - ap. interna"/>
      <sheetName val="Planilha2"/>
      <sheetName val="SIMULAÇÃO"/>
      <sheetName val="Acumulado 9M"/>
      <sheetName val="Mudança &quot;PESSOAL&quot;"/>
      <sheetName val="Mudança &quot;PESSOAL&quot; 9M"/>
      <sheetName val="Planilha1"/>
      <sheetName val="Dados Operacionais (ano)"/>
      <sheetName val="GRAF PERDAS"/>
      <sheetName val="Graf DRE Semestral"/>
    </sheetNames>
    <sheetDataSet>
      <sheetData sheetId="0">
        <row r="435">
          <cell r="B435">
            <v>547.798</v>
          </cell>
        </row>
        <row r="436">
          <cell r="B436">
            <v>3364.4380000000001</v>
          </cell>
        </row>
        <row r="437">
          <cell r="B437">
            <v>266.36399999999998</v>
          </cell>
        </row>
        <row r="438">
          <cell r="B438">
            <v>29.687000000000001</v>
          </cell>
        </row>
        <row r="439">
          <cell r="B439">
            <v>66.841999999999999</v>
          </cell>
        </row>
        <row r="440">
          <cell r="B440">
            <v>107.17400000000001</v>
          </cell>
        </row>
        <row r="441">
          <cell r="B441">
            <v>4382.302999999999</v>
          </cell>
        </row>
        <row r="460">
          <cell r="B460">
            <v>10200.490340000002</v>
          </cell>
        </row>
        <row r="461">
          <cell r="B461">
            <v>80811.370600000009</v>
          </cell>
        </row>
        <row r="462">
          <cell r="B462">
            <v>8117.2981500000005</v>
          </cell>
        </row>
        <row r="463">
          <cell r="B463">
            <v>1961.4156400000002</v>
          </cell>
        </row>
        <row r="464">
          <cell r="B464">
            <v>3857.2207200000003</v>
          </cell>
        </row>
        <row r="465">
          <cell r="B465">
            <v>104947.79545000002</v>
          </cell>
        </row>
        <row r="476">
          <cell r="B476">
            <v>335.73</v>
          </cell>
        </row>
        <row r="477">
          <cell r="B477">
            <v>2193.5819999999999</v>
          </cell>
        </row>
        <row r="478">
          <cell r="B478">
            <v>191.084</v>
          </cell>
        </row>
        <row r="479">
          <cell r="B479">
            <v>18.128</v>
          </cell>
        </row>
        <row r="480">
          <cell r="B480">
            <v>34.917999999999999</v>
          </cell>
        </row>
        <row r="481">
          <cell r="B481">
            <v>73.596000000000004</v>
          </cell>
        </row>
        <row r="482">
          <cell r="B482">
            <v>2847.038</v>
          </cell>
        </row>
        <row r="652">
          <cell r="B652">
            <v>33818.065630000005</v>
          </cell>
        </row>
        <row r="653">
          <cell r="B653">
            <v>14658.308370000001</v>
          </cell>
        </row>
        <row r="657">
          <cell r="B657">
            <v>81572.580679999999</v>
          </cell>
        </row>
        <row r="662">
          <cell r="B662">
            <v>31215.215390000001</v>
          </cell>
        </row>
        <row r="663">
          <cell r="B663">
            <v>71108.521560000008</v>
          </cell>
        </row>
        <row r="664">
          <cell r="B664">
            <v>41328.945199999995</v>
          </cell>
        </row>
        <row r="665">
          <cell r="B665">
            <v>18770.550729999999</v>
          </cell>
        </row>
        <row r="671">
          <cell r="B671">
            <v>34283.234039999996</v>
          </cell>
        </row>
        <row r="673">
          <cell r="B673">
            <v>8106.6771799999997</v>
          </cell>
        </row>
        <row r="674">
          <cell r="B674">
            <v>4061.1166299999995</v>
          </cell>
        </row>
        <row r="680">
          <cell r="B680">
            <v>10086.381299999999</v>
          </cell>
        </row>
        <row r="681">
          <cell r="B681">
            <v>4809.2653500000006</v>
          </cell>
        </row>
        <row r="683">
          <cell r="B683">
            <v>36115.367810000003</v>
          </cell>
        </row>
        <row r="684">
          <cell r="B684">
            <v>970.37288999999998</v>
          </cell>
        </row>
        <row r="686">
          <cell r="B686">
            <v>93015.576690000002</v>
          </cell>
        </row>
        <row r="687">
          <cell r="B687">
            <v>2493.8862599999998</v>
          </cell>
        </row>
        <row r="688">
          <cell r="B688">
            <v>971.49946</v>
          </cell>
        </row>
        <row r="690">
          <cell r="B690">
            <v>4738.7957000000006</v>
          </cell>
        </row>
        <row r="691">
          <cell r="B691">
            <v>1871.0150100000001</v>
          </cell>
        </row>
        <row r="695">
          <cell r="B695">
            <v>10401.44051</v>
          </cell>
        </row>
        <row r="699">
          <cell r="B699">
            <v>3189.5060199999998</v>
          </cell>
        </row>
        <row r="700">
          <cell r="B700">
            <v>74979.57074000001</v>
          </cell>
        </row>
        <row r="708">
          <cell r="B708">
            <v>637701.63305999991</v>
          </cell>
        </row>
        <row r="709">
          <cell r="B709">
            <v>23136.25547</v>
          </cell>
        </row>
        <row r="713">
          <cell r="B713">
            <v>166843.712</v>
          </cell>
        </row>
        <row r="718">
          <cell r="B718">
            <v>28236.666519999995</v>
          </cell>
        </row>
        <row r="719">
          <cell r="B719">
            <v>69574.39026</v>
          </cell>
        </row>
        <row r="720">
          <cell r="B720">
            <v>37385.345970000002</v>
          </cell>
        </row>
        <row r="721">
          <cell r="B721">
            <v>174556.8002</v>
          </cell>
        </row>
        <row r="729">
          <cell r="B729">
            <v>58273.521070000003</v>
          </cell>
        </row>
        <row r="730">
          <cell r="B730">
            <v>29068.742019999998</v>
          </cell>
        </row>
        <row r="736">
          <cell r="B736">
            <v>99332.699660000013</v>
          </cell>
        </row>
        <row r="737">
          <cell r="B737">
            <v>47017.37412</v>
          </cell>
        </row>
        <row r="739">
          <cell r="B739">
            <v>169739.22332999998</v>
          </cell>
        </row>
        <row r="740">
          <cell r="B740">
            <v>87628.251230000009</v>
          </cell>
        </row>
        <row r="743">
          <cell r="B743">
            <v>540000</v>
          </cell>
        </row>
        <row r="744">
          <cell r="B744">
            <v>71496.330230000007</v>
          </cell>
        </row>
        <row r="746">
          <cell r="B746">
            <v>51810.5</v>
          </cell>
        </row>
        <row r="747">
          <cell r="B747">
            <v>146423.20912000001</v>
          </cell>
        </row>
        <row r="751">
          <cell r="B751">
            <v>828.14013</v>
          </cell>
        </row>
        <row r="755">
          <cell r="B755">
            <v>141731.02338</v>
          </cell>
        </row>
        <row r="756">
          <cell r="B756">
            <v>183714.69607000001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80" zoomScaleNormal="80" workbookViewId="0"/>
  </sheetViews>
  <sheetFormatPr defaultColWidth="0" defaultRowHeight="15" zeroHeight="1" x14ac:dyDescent="0.25"/>
  <cols>
    <col min="1" max="12" width="9.140625" style="7" customWidth="1"/>
    <col min="13" max="16384" width="9.140625" style="7" hidden="1"/>
  </cols>
  <sheetData>
    <row r="1" spans="1:12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customForma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customForma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customForma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customForma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customForma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customForma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customForma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customForma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customForma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customForma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customFormat="1" ht="24.75" x14ac:dyDescent="0.3">
      <c r="A17" s="391"/>
      <c r="B17" s="391"/>
      <c r="C17" s="391"/>
      <c r="D17" s="391"/>
      <c r="E17" s="391"/>
      <c r="F17" s="391"/>
      <c r="G17" s="391"/>
      <c r="H17" s="50"/>
      <c r="I17" s="7"/>
      <c r="J17" s="7"/>
      <c r="K17" s="7"/>
      <c r="L17" s="7"/>
    </row>
    <row r="18" spans="1:12" customForma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customForma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customFormat="1" ht="31.5" x14ac:dyDescent="0.5">
      <c r="A22" s="392" t="s">
        <v>348</v>
      </c>
      <c r="B22" s="392"/>
      <c r="C22" s="392"/>
      <c r="D22" s="392"/>
      <c r="E22" s="392"/>
      <c r="F22" s="392"/>
      <c r="G22" s="392"/>
      <c r="H22" s="7"/>
      <c r="I22" s="7"/>
      <c r="J22" s="7"/>
      <c r="K22" s="7"/>
      <c r="L22" s="7"/>
    </row>
    <row r="23" spans="1:12" x14ac:dyDescent="0.25"/>
    <row r="24" spans="1:12" customForma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/>
    <row r="31" spans="1:12" x14ac:dyDescent="0.25"/>
    <row r="32" spans="1:12" x14ac:dyDescent="0.25"/>
    <row r="33" x14ac:dyDescent="0.25"/>
    <row r="34" x14ac:dyDescent="0.25"/>
    <row r="35" x14ac:dyDescent="0.25"/>
    <row r="36" x14ac:dyDescent="0.25"/>
    <row r="37" x14ac:dyDescent="0.25"/>
  </sheetData>
  <mergeCells count="2">
    <mergeCell ref="A17:G17"/>
    <mergeCell ref="A22:G2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121"/>
  <sheetViews>
    <sheetView zoomScale="85" zoomScaleNormal="85" workbookViewId="0">
      <selection activeCell="A79" sqref="A79"/>
    </sheetView>
  </sheetViews>
  <sheetFormatPr defaultColWidth="0" defaultRowHeight="15" zeroHeight="1" x14ac:dyDescent="0.25"/>
  <cols>
    <col min="1" max="1" width="61.28515625" style="33" customWidth="1"/>
    <col min="2" max="4" width="11.7109375" style="181" customWidth="1"/>
    <col min="5" max="5" width="10.7109375" style="181" bestFit="1" customWidth="1"/>
    <col min="6" max="8" width="11.28515625" style="33" customWidth="1"/>
    <col min="9" max="9" width="11.28515625" style="54" customWidth="1"/>
    <col min="10" max="10" width="11.28515625" style="56" customWidth="1"/>
    <col min="11" max="11" width="11.28515625" style="54" customWidth="1"/>
    <col min="12" max="12" width="11.28515625" style="56" customWidth="1"/>
    <col min="13" max="42" width="11.28515625" style="33" customWidth="1"/>
    <col min="43" max="303" width="0" style="33" hidden="1" customWidth="1"/>
    <col min="304" max="16384" width="9.140625" style="33" hidden="1"/>
  </cols>
  <sheetData>
    <row r="1" spans="1:42" s="2" customFormat="1" ht="102.75" customHeight="1" x14ac:dyDescent="0.25">
      <c r="A1" s="154"/>
      <c r="B1" s="386"/>
      <c r="C1" s="386"/>
      <c r="D1" s="386"/>
      <c r="E1" s="386"/>
      <c r="F1" s="154"/>
      <c r="G1" s="154"/>
      <c r="H1" s="39"/>
      <c r="I1" s="218"/>
      <c r="J1" s="218"/>
      <c r="K1" s="393" t="s">
        <v>118</v>
      </c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218"/>
      <c r="Y1" s="218"/>
      <c r="Z1" s="218"/>
      <c r="AA1" s="218"/>
      <c r="AB1" s="307"/>
      <c r="AC1" s="218"/>
      <c r="AD1" s="307"/>
      <c r="AE1" s="307"/>
      <c r="AF1" s="307"/>
      <c r="AG1" s="307"/>
      <c r="AH1" s="307"/>
      <c r="AI1" s="307"/>
      <c r="AJ1" s="307"/>
      <c r="AK1" s="307"/>
      <c r="AL1" s="218"/>
      <c r="AM1" s="218"/>
      <c r="AN1" s="218"/>
      <c r="AO1" s="218"/>
      <c r="AP1" s="33"/>
    </row>
    <row r="2" spans="1:42" s="157" customFormat="1" ht="21" customHeight="1" x14ac:dyDescent="0.25">
      <c r="A2" s="298" t="s">
        <v>383</v>
      </c>
      <c r="B2" s="155" t="s">
        <v>443</v>
      </c>
      <c r="C2" s="155" t="s">
        <v>436</v>
      </c>
      <c r="D2" s="155" t="s">
        <v>433</v>
      </c>
      <c r="E2" s="155" t="s">
        <v>422</v>
      </c>
      <c r="F2" s="155" t="s">
        <v>400</v>
      </c>
      <c r="G2" s="155" t="s">
        <v>389</v>
      </c>
      <c r="H2" s="155" t="s">
        <v>225</v>
      </c>
      <c r="I2" s="156" t="s">
        <v>0</v>
      </c>
      <c r="J2" s="156" t="s">
        <v>1</v>
      </c>
      <c r="K2" s="156" t="s">
        <v>2</v>
      </c>
      <c r="L2" s="156" t="s">
        <v>3</v>
      </c>
      <c r="M2" s="156" t="s">
        <v>4</v>
      </c>
      <c r="N2" s="156" t="s">
        <v>5</v>
      </c>
      <c r="O2" s="156" t="s">
        <v>6</v>
      </c>
      <c r="P2" s="156" t="s">
        <v>7</v>
      </c>
      <c r="Q2" s="156" t="s">
        <v>8</v>
      </c>
      <c r="R2" s="156" t="s">
        <v>9</v>
      </c>
      <c r="S2" s="156" t="s">
        <v>10</v>
      </c>
      <c r="T2" s="156" t="s">
        <v>11</v>
      </c>
      <c r="U2" s="156" t="s">
        <v>12</v>
      </c>
      <c r="V2" s="156" t="s">
        <v>13</v>
      </c>
      <c r="W2" s="156" t="s">
        <v>14</v>
      </c>
      <c r="X2" s="156" t="s">
        <v>15</v>
      </c>
      <c r="Y2" s="156" t="s">
        <v>16</v>
      </c>
      <c r="Z2" s="156" t="s">
        <v>17</v>
      </c>
      <c r="AA2" s="156" t="s">
        <v>18</v>
      </c>
      <c r="AB2" s="156" t="s">
        <v>19</v>
      </c>
      <c r="AC2" s="156" t="s">
        <v>20</v>
      </c>
      <c r="AD2" s="156" t="s">
        <v>34</v>
      </c>
      <c r="AE2" s="156" t="s">
        <v>21</v>
      </c>
      <c r="AF2" s="156" t="s">
        <v>22</v>
      </c>
      <c r="AG2" s="156" t="s">
        <v>23</v>
      </c>
      <c r="AH2" s="156" t="s">
        <v>24</v>
      </c>
      <c r="AI2" s="156" t="s">
        <v>25</v>
      </c>
      <c r="AJ2" s="156" t="s">
        <v>26</v>
      </c>
      <c r="AK2" s="156" t="s">
        <v>27</v>
      </c>
      <c r="AL2" s="156" t="s">
        <v>28</v>
      </c>
      <c r="AM2" s="156" t="s">
        <v>29</v>
      </c>
      <c r="AN2" s="156" t="s">
        <v>30</v>
      </c>
      <c r="AO2" s="156" t="s">
        <v>31</v>
      </c>
      <c r="AP2" s="326"/>
    </row>
    <row r="3" spans="1:42" s="117" customFormat="1" ht="21" customHeight="1" x14ac:dyDescent="0.25">
      <c r="A3" s="187" t="s">
        <v>226</v>
      </c>
      <c r="B3" s="164"/>
      <c r="C3" s="164"/>
      <c r="D3" s="164"/>
      <c r="E3" s="164"/>
      <c r="F3" s="164"/>
      <c r="G3" s="164"/>
      <c r="H3" s="164"/>
      <c r="I3" s="158"/>
      <c r="J3" s="159"/>
      <c r="K3" s="158"/>
      <c r="L3" s="159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3"/>
    </row>
    <row r="4" spans="1:42" s="30" customFormat="1" x14ac:dyDescent="0.25">
      <c r="A4" s="171"/>
      <c r="B4" s="103"/>
      <c r="C4" s="103"/>
      <c r="D4" s="103"/>
      <c r="E4" s="103"/>
      <c r="F4" s="103"/>
      <c r="G4" s="103"/>
      <c r="H4" s="103"/>
      <c r="I4" s="102"/>
      <c r="J4" s="103"/>
      <c r="K4" s="102"/>
      <c r="L4" s="10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33"/>
    </row>
    <row r="5" spans="1:42" s="41" customFormat="1" x14ac:dyDescent="0.25">
      <c r="A5" s="172" t="s">
        <v>228</v>
      </c>
      <c r="B5" s="32">
        <v>855883</v>
      </c>
      <c r="C5" s="32">
        <v>816269</v>
      </c>
      <c r="D5" s="32">
        <v>752367</v>
      </c>
      <c r="E5" s="32">
        <v>769225</v>
      </c>
      <c r="F5" s="32">
        <v>823112</v>
      </c>
      <c r="G5" s="32">
        <v>767331</v>
      </c>
      <c r="H5" s="32">
        <v>693209</v>
      </c>
      <c r="I5" s="32">
        <v>711384</v>
      </c>
      <c r="J5" s="32">
        <v>695064</v>
      </c>
      <c r="K5" s="32">
        <v>668381</v>
      </c>
      <c r="L5" s="32">
        <v>656973</v>
      </c>
      <c r="M5" s="32">
        <v>666428</v>
      </c>
      <c r="N5" s="32">
        <v>680268</v>
      </c>
      <c r="O5" s="32">
        <v>667504</v>
      </c>
      <c r="P5" s="32">
        <v>601320</v>
      </c>
      <c r="Q5" s="32">
        <v>637248</v>
      </c>
      <c r="R5" s="32">
        <v>616112</v>
      </c>
      <c r="S5" s="32">
        <v>632376</v>
      </c>
      <c r="T5" s="32">
        <v>578560</v>
      </c>
      <c r="U5" s="32">
        <v>541096</v>
      </c>
      <c r="V5" s="32">
        <v>565274</v>
      </c>
      <c r="W5" s="32">
        <v>524334</v>
      </c>
      <c r="X5" s="32">
        <v>487203</v>
      </c>
      <c r="Y5" s="32">
        <v>485686</v>
      </c>
      <c r="Z5" s="32">
        <v>511700</v>
      </c>
      <c r="AA5" s="32">
        <v>516931</v>
      </c>
      <c r="AB5" s="32">
        <v>502681</v>
      </c>
      <c r="AC5" s="32">
        <v>521882</v>
      </c>
      <c r="AD5" s="32">
        <v>515416</v>
      </c>
      <c r="AE5" s="32">
        <v>507451</v>
      </c>
      <c r="AF5" s="32">
        <v>475463</v>
      </c>
      <c r="AG5" s="32">
        <v>482342</v>
      </c>
      <c r="AH5" s="32">
        <v>489660</v>
      </c>
      <c r="AI5" s="32">
        <v>468980.8</v>
      </c>
      <c r="AJ5" s="32">
        <v>441054</v>
      </c>
      <c r="AK5" s="32">
        <v>458671</v>
      </c>
      <c r="AL5" s="32">
        <v>445077</v>
      </c>
      <c r="AM5" s="32">
        <v>463992</v>
      </c>
      <c r="AN5" s="32">
        <v>434337</v>
      </c>
      <c r="AO5" s="32">
        <v>440577</v>
      </c>
    </row>
    <row r="6" spans="1:42" s="21" customFormat="1" x14ac:dyDescent="0.25">
      <c r="A6" s="173" t="s">
        <v>229</v>
      </c>
      <c r="B6" s="29">
        <v>488260</v>
      </c>
      <c r="C6" s="29">
        <v>458044</v>
      </c>
      <c r="D6" s="29">
        <v>432945</v>
      </c>
      <c r="E6" s="29">
        <v>439994</v>
      </c>
      <c r="F6" s="29">
        <v>468447</v>
      </c>
      <c r="G6" s="29">
        <v>433944</v>
      </c>
      <c r="H6" s="29">
        <v>392568</v>
      </c>
      <c r="I6" s="29">
        <v>393226</v>
      </c>
      <c r="J6" s="29">
        <v>395325</v>
      </c>
      <c r="K6" s="29">
        <v>365302</v>
      </c>
      <c r="L6" s="29">
        <v>361772</v>
      </c>
      <c r="M6" s="29">
        <v>360444</v>
      </c>
      <c r="N6" s="29">
        <v>374942</v>
      </c>
      <c r="O6" s="29">
        <v>362604</v>
      </c>
      <c r="P6" s="29">
        <v>332311</v>
      </c>
      <c r="Q6" s="29">
        <v>341410</v>
      </c>
      <c r="R6" s="29">
        <v>332392</v>
      </c>
      <c r="S6" s="29">
        <v>339850</v>
      </c>
      <c r="T6" s="29">
        <v>313517</v>
      </c>
      <c r="U6" s="29">
        <v>289715</v>
      </c>
      <c r="V6" s="29">
        <v>298689</v>
      </c>
      <c r="W6" s="29">
        <v>275649</v>
      </c>
      <c r="X6" s="29">
        <v>257905</v>
      </c>
      <c r="Y6" s="29">
        <v>249441</v>
      </c>
      <c r="Z6" s="29">
        <v>271996</v>
      </c>
      <c r="AA6" s="29">
        <v>273678</v>
      </c>
      <c r="AB6" s="29">
        <v>265909</v>
      </c>
      <c r="AC6" s="29">
        <v>267377</v>
      </c>
      <c r="AD6" s="29">
        <v>264966</v>
      </c>
      <c r="AE6" s="29">
        <v>263112</v>
      </c>
      <c r="AF6" s="29">
        <v>250393</v>
      </c>
      <c r="AG6" s="29">
        <v>248594</v>
      </c>
      <c r="AH6" s="29">
        <v>253861</v>
      </c>
      <c r="AI6" s="29">
        <v>241735.7</v>
      </c>
      <c r="AJ6" s="29">
        <v>213727</v>
      </c>
      <c r="AK6" s="29">
        <v>200675</v>
      </c>
      <c r="AL6" s="29">
        <v>192848</v>
      </c>
      <c r="AM6" s="29">
        <v>197760</v>
      </c>
      <c r="AN6" s="29">
        <v>177346</v>
      </c>
      <c r="AO6" s="29">
        <v>157673</v>
      </c>
      <c r="AP6" s="41"/>
    </row>
    <row r="7" spans="1:42" s="41" customFormat="1" x14ac:dyDescent="0.25">
      <c r="A7" s="172" t="s">
        <v>230</v>
      </c>
      <c r="B7" s="32">
        <v>542</v>
      </c>
      <c r="C7" s="32">
        <v>519</v>
      </c>
      <c r="D7" s="32">
        <v>510</v>
      </c>
      <c r="E7" s="32">
        <v>519</v>
      </c>
      <c r="F7" s="32">
        <v>466</v>
      </c>
      <c r="G7" s="32">
        <v>514</v>
      </c>
      <c r="H7" s="32">
        <v>541</v>
      </c>
      <c r="I7" s="32">
        <v>541</v>
      </c>
      <c r="J7" s="32">
        <v>521</v>
      </c>
      <c r="K7" s="32">
        <v>605</v>
      </c>
      <c r="L7" s="52">
        <v>621</v>
      </c>
      <c r="M7" s="52">
        <v>676</v>
      </c>
      <c r="N7" s="52">
        <v>399</v>
      </c>
      <c r="O7" s="52" t="s">
        <v>32</v>
      </c>
      <c r="P7" s="52" t="s">
        <v>32</v>
      </c>
      <c r="Q7" s="52" t="s">
        <v>32</v>
      </c>
      <c r="R7" s="52" t="s">
        <v>32</v>
      </c>
      <c r="S7" s="52" t="s">
        <v>32</v>
      </c>
      <c r="T7" s="52" t="s">
        <v>32</v>
      </c>
      <c r="U7" s="52" t="s">
        <v>32</v>
      </c>
      <c r="V7" s="52" t="s">
        <v>32</v>
      </c>
      <c r="W7" s="52" t="s">
        <v>32</v>
      </c>
      <c r="X7" s="52" t="s">
        <v>32</v>
      </c>
      <c r="Y7" s="52" t="s">
        <v>32</v>
      </c>
      <c r="Z7" s="52" t="s">
        <v>32</v>
      </c>
      <c r="AA7" s="52" t="s">
        <v>32</v>
      </c>
      <c r="AB7" s="52" t="s">
        <v>32</v>
      </c>
      <c r="AC7" s="52" t="s">
        <v>32</v>
      </c>
      <c r="AD7" s="52" t="s">
        <v>32</v>
      </c>
      <c r="AE7" s="52" t="s">
        <v>32</v>
      </c>
      <c r="AF7" s="52" t="s">
        <v>32</v>
      </c>
      <c r="AG7" s="52" t="s">
        <v>32</v>
      </c>
      <c r="AH7" s="52" t="s">
        <v>32</v>
      </c>
      <c r="AI7" s="52" t="s">
        <v>32</v>
      </c>
      <c r="AJ7" s="52" t="s">
        <v>32</v>
      </c>
      <c r="AK7" s="52" t="s">
        <v>32</v>
      </c>
      <c r="AL7" s="52" t="s">
        <v>32</v>
      </c>
      <c r="AM7" s="52" t="s">
        <v>32</v>
      </c>
      <c r="AN7" s="52" t="s">
        <v>32</v>
      </c>
      <c r="AO7" s="52" t="s">
        <v>32</v>
      </c>
    </row>
    <row r="8" spans="1:42" s="21" customFormat="1" x14ac:dyDescent="0.25">
      <c r="A8" s="173" t="s">
        <v>231</v>
      </c>
      <c r="B8" s="29">
        <v>85154</v>
      </c>
      <c r="C8" s="29">
        <v>71331</v>
      </c>
      <c r="D8" s="29">
        <v>59816</v>
      </c>
      <c r="E8" s="29">
        <v>57565</v>
      </c>
      <c r="F8" s="29">
        <v>93914</v>
      </c>
      <c r="G8" s="29">
        <v>115847</v>
      </c>
      <c r="H8" s="29">
        <v>106607</v>
      </c>
      <c r="I8" s="29">
        <v>91711</v>
      </c>
      <c r="J8" s="29">
        <v>136071</v>
      </c>
      <c r="K8" s="29">
        <v>133467</v>
      </c>
      <c r="L8" s="29">
        <v>130600</v>
      </c>
      <c r="M8" s="29">
        <v>96753</v>
      </c>
      <c r="N8" s="29">
        <v>112147</v>
      </c>
      <c r="O8" s="29">
        <v>73024</v>
      </c>
      <c r="P8" s="29">
        <v>55417</v>
      </c>
      <c r="Q8" s="29">
        <v>62075</v>
      </c>
      <c r="R8" s="29">
        <v>48858</v>
      </c>
      <c r="S8" s="29">
        <v>65941</v>
      </c>
      <c r="T8" s="29">
        <v>73135</v>
      </c>
      <c r="U8" s="29">
        <v>176733</v>
      </c>
      <c r="V8" s="29">
        <v>134372</v>
      </c>
      <c r="W8" s="29">
        <v>193582</v>
      </c>
      <c r="X8" s="29">
        <v>174217</v>
      </c>
      <c r="Y8" s="29">
        <v>164361</v>
      </c>
      <c r="Z8" s="29">
        <v>241644</v>
      </c>
      <c r="AA8" s="29">
        <v>377197</v>
      </c>
      <c r="AB8" s="29">
        <v>200305</v>
      </c>
      <c r="AC8" s="29">
        <v>159156</v>
      </c>
      <c r="AD8" s="29">
        <v>193638</v>
      </c>
      <c r="AE8" s="29">
        <v>199464</v>
      </c>
      <c r="AF8" s="29">
        <v>187467</v>
      </c>
      <c r="AG8" s="29">
        <v>126513</v>
      </c>
      <c r="AH8" s="29">
        <v>244595</v>
      </c>
      <c r="AI8" s="29">
        <v>158756.79999999999</v>
      </c>
      <c r="AJ8" s="29">
        <v>174089</v>
      </c>
      <c r="AK8" s="29">
        <v>154135</v>
      </c>
      <c r="AL8" s="29">
        <v>193830</v>
      </c>
      <c r="AM8" s="29">
        <v>162501</v>
      </c>
      <c r="AN8" s="29">
        <v>167036</v>
      </c>
      <c r="AO8" s="29">
        <v>177889</v>
      </c>
      <c r="AP8" s="41"/>
    </row>
    <row r="9" spans="1:42" s="41" customFormat="1" x14ac:dyDescent="0.25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1:42" s="114" customFormat="1" ht="15.75" x14ac:dyDescent="0.25">
      <c r="A10" s="188" t="s">
        <v>227</v>
      </c>
      <c r="B10" s="112">
        <f t="shared" ref="B10:H10" si="0">SUM(B5:B9)</f>
        <v>1429839</v>
      </c>
      <c r="C10" s="112">
        <f t="shared" si="0"/>
        <v>1346163</v>
      </c>
      <c r="D10" s="112">
        <f t="shared" si="0"/>
        <v>1245638</v>
      </c>
      <c r="E10" s="112">
        <f t="shared" si="0"/>
        <v>1267303</v>
      </c>
      <c r="F10" s="112">
        <f t="shared" si="0"/>
        <v>1385939</v>
      </c>
      <c r="G10" s="112">
        <f t="shared" si="0"/>
        <v>1317636</v>
      </c>
      <c r="H10" s="112">
        <f t="shared" si="0"/>
        <v>1192925</v>
      </c>
      <c r="I10" s="112">
        <f t="shared" ref="I10:AO10" si="1">SUM(I5:I9)</f>
        <v>1196862</v>
      </c>
      <c r="J10" s="112">
        <f t="shared" si="1"/>
        <v>1226981</v>
      </c>
      <c r="K10" s="112">
        <f t="shared" si="1"/>
        <v>1167755</v>
      </c>
      <c r="L10" s="112">
        <f t="shared" si="1"/>
        <v>1149966</v>
      </c>
      <c r="M10" s="112">
        <f t="shared" si="1"/>
        <v>1124301</v>
      </c>
      <c r="N10" s="112">
        <f t="shared" si="1"/>
        <v>1167756</v>
      </c>
      <c r="O10" s="112">
        <f t="shared" si="1"/>
        <v>1103132</v>
      </c>
      <c r="P10" s="112">
        <f t="shared" si="1"/>
        <v>989048</v>
      </c>
      <c r="Q10" s="112">
        <f t="shared" si="1"/>
        <v>1040733</v>
      </c>
      <c r="R10" s="112">
        <f t="shared" si="1"/>
        <v>997362</v>
      </c>
      <c r="S10" s="112">
        <f t="shared" si="1"/>
        <v>1038167</v>
      </c>
      <c r="T10" s="112">
        <f t="shared" si="1"/>
        <v>965212</v>
      </c>
      <c r="U10" s="112">
        <f t="shared" si="1"/>
        <v>1007544</v>
      </c>
      <c r="V10" s="112">
        <f t="shared" si="1"/>
        <v>998335</v>
      </c>
      <c r="W10" s="112">
        <f t="shared" si="1"/>
        <v>993565</v>
      </c>
      <c r="X10" s="112">
        <f t="shared" si="1"/>
        <v>919325</v>
      </c>
      <c r="Y10" s="112">
        <f t="shared" si="1"/>
        <v>899488</v>
      </c>
      <c r="Z10" s="112">
        <f t="shared" si="1"/>
        <v>1025340</v>
      </c>
      <c r="AA10" s="112">
        <f t="shared" si="1"/>
        <v>1167806</v>
      </c>
      <c r="AB10" s="112">
        <f t="shared" si="1"/>
        <v>968895</v>
      </c>
      <c r="AC10" s="112">
        <f t="shared" si="1"/>
        <v>948415</v>
      </c>
      <c r="AD10" s="112">
        <f t="shared" si="1"/>
        <v>974020</v>
      </c>
      <c r="AE10" s="112">
        <f t="shared" si="1"/>
        <v>970027</v>
      </c>
      <c r="AF10" s="112">
        <f t="shared" si="1"/>
        <v>913323</v>
      </c>
      <c r="AG10" s="112">
        <f t="shared" si="1"/>
        <v>857449</v>
      </c>
      <c r="AH10" s="112">
        <f t="shared" si="1"/>
        <v>988116</v>
      </c>
      <c r="AI10" s="112">
        <f t="shared" si="1"/>
        <v>869473.3</v>
      </c>
      <c r="AJ10" s="112">
        <f t="shared" si="1"/>
        <v>828870</v>
      </c>
      <c r="AK10" s="112">
        <f t="shared" si="1"/>
        <v>813481</v>
      </c>
      <c r="AL10" s="112">
        <f t="shared" si="1"/>
        <v>831755</v>
      </c>
      <c r="AM10" s="112">
        <f t="shared" si="1"/>
        <v>824253</v>
      </c>
      <c r="AN10" s="112">
        <f t="shared" si="1"/>
        <v>778719</v>
      </c>
      <c r="AO10" s="112">
        <f t="shared" si="1"/>
        <v>776139</v>
      </c>
      <c r="AP10" s="327"/>
    </row>
    <row r="11" spans="1:42" s="30" customFormat="1" x14ac:dyDescent="0.25">
      <c r="A11" s="176"/>
      <c r="B11" s="177"/>
      <c r="C11" s="177"/>
      <c r="D11" s="177"/>
      <c r="E11" s="177"/>
      <c r="F11" s="177"/>
      <c r="G11" s="177"/>
      <c r="H11" s="177"/>
      <c r="I11" s="177"/>
      <c r="J11" s="178"/>
      <c r="K11" s="177"/>
      <c r="L11" s="17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33"/>
    </row>
    <row r="12" spans="1:42" s="41" customFormat="1" ht="14.25" customHeight="1" x14ac:dyDescent="0.25">
      <c r="A12" s="172" t="s">
        <v>233</v>
      </c>
      <c r="B12" s="32">
        <v>-679936</v>
      </c>
      <c r="C12" s="32">
        <v>-651402</v>
      </c>
      <c r="D12" s="32">
        <v>-640782</v>
      </c>
      <c r="E12" s="32">
        <v>-634921</v>
      </c>
      <c r="F12" s="32">
        <v>-655140</v>
      </c>
      <c r="G12" s="32">
        <v>-633608</v>
      </c>
      <c r="H12" s="32">
        <v>-608084</v>
      </c>
      <c r="I12" s="32">
        <v>-589491</v>
      </c>
      <c r="J12" s="32">
        <v>-597723</v>
      </c>
      <c r="K12" s="32">
        <v>-610552</v>
      </c>
      <c r="L12" s="32">
        <v>-567427</v>
      </c>
      <c r="M12" s="32">
        <v>-540480</v>
      </c>
      <c r="N12" s="32">
        <v>-578632</v>
      </c>
      <c r="O12" s="32">
        <v>-599631</v>
      </c>
      <c r="P12" s="32">
        <v>-468743</v>
      </c>
      <c r="Q12" s="32">
        <v>-512330</v>
      </c>
      <c r="R12" s="32">
        <v>-529242</v>
      </c>
      <c r="S12" s="32">
        <v>-513402</v>
      </c>
      <c r="T12" s="32">
        <v>-575081</v>
      </c>
      <c r="U12" s="32">
        <v>-478566</v>
      </c>
      <c r="V12" s="32">
        <v>-571464</v>
      </c>
      <c r="W12" s="32">
        <v>-491800</v>
      </c>
      <c r="X12" s="32">
        <v>-491389</v>
      </c>
      <c r="Y12" s="32">
        <v>-456923</v>
      </c>
      <c r="Z12" s="32">
        <v>-459325</v>
      </c>
      <c r="AA12" s="32">
        <v>-433250</v>
      </c>
      <c r="AB12" s="32">
        <v>-429549</v>
      </c>
      <c r="AC12" s="32">
        <v>-419930</v>
      </c>
      <c r="AD12" s="32">
        <v>-427608</v>
      </c>
      <c r="AE12" s="32">
        <v>-430364</v>
      </c>
      <c r="AF12" s="32">
        <v>-395263</v>
      </c>
      <c r="AG12" s="32">
        <v>-379148</v>
      </c>
      <c r="AH12" s="32">
        <v>-402229</v>
      </c>
      <c r="AI12" s="32">
        <v>-352081</v>
      </c>
      <c r="AJ12" s="32">
        <v>-348708</v>
      </c>
      <c r="AK12" s="32">
        <v>-321646</v>
      </c>
      <c r="AL12" s="32">
        <v>-324833</v>
      </c>
      <c r="AM12" s="32">
        <v>-317795</v>
      </c>
      <c r="AN12" s="32">
        <v>-294584</v>
      </c>
      <c r="AO12" s="32">
        <v>-279250</v>
      </c>
    </row>
    <row r="13" spans="1:42" s="21" customFormat="1" x14ac:dyDescent="0.25">
      <c r="A13" s="173" t="s">
        <v>232</v>
      </c>
      <c r="B13" s="29">
        <v>-85154</v>
      </c>
      <c r="C13" s="29">
        <v>-71331</v>
      </c>
      <c r="D13" s="29">
        <v>-59816</v>
      </c>
      <c r="E13" s="29">
        <v>-57565</v>
      </c>
      <c r="F13" s="29">
        <v>-93914</v>
      </c>
      <c r="G13" s="29">
        <v>-115847</v>
      </c>
      <c r="H13" s="29">
        <v>-106607</v>
      </c>
      <c r="I13" s="29">
        <v>-91711</v>
      </c>
      <c r="J13" s="29">
        <v>-136071</v>
      </c>
      <c r="K13" s="29">
        <v>-133467</v>
      </c>
      <c r="L13" s="29">
        <v>-130600</v>
      </c>
      <c r="M13" s="29">
        <v>-96753</v>
      </c>
      <c r="N13" s="29">
        <v>-112147</v>
      </c>
      <c r="O13" s="29">
        <v>-73024</v>
      </c>
      <c r="P13" s="29">
        <v>-55417</v>
      </c>
      <c r="Q13" s="29">
        <v>-62075</v>
      </c>
      <c r="R13" s="29">
        <v>-48858</v>
      </c>
      <c r="S13" s="29">
        <v>-65941</v>
      </c>
      <c r="T13" s="29">
        <v>-73136</v>
      </c>
      <c r="U13" s="29">
        <v>-176733</v>
      </c>
      <c r="V13" s="29">
        <v>-134372</v>
      </c>
      <c r="W13" s="29">
        <v>-193582</v>
      </c>
      <c r="X13" s="29">
        <v>-171985</v>
      </c>
      <c r="Y13" s="29">
        <v>-161865</v>
      </c>
      <c r="Z13" s="29">
        <v>-237981</v>
      </c>
      <c r="AA13" s="29">
        <v>-373220</v>
      </c>
      <c r="AB13" s="29">
        <v>-196121</v>
      </c>
      <c r="AC13" s="29">
        <v>-154384</v>
      </c>
      <c r="AD13" s="29">
        <v>-189627</v>
      </c>
      <c r="AE13" s="29">
        <v>-195047</v>
      </c>
      <c r="AF13" s="29">
        <v>-183281</v>
      </c>
      <c r="AG13" s="29">
        <v>-122618</v>
      </c>
      <c r="AH13" s="29">
        <v>-237283</v>
      </c>
      <c r="AI13" s="29">
        <v>-155219</v>
      </c>
      <c r="AJ13" s="29">
        <v>-171187</v>
      </c>
      <c r="AK13" s="29">
        <v>-152807</v>
      </c>
      <c r="AL13" s="29">
        <v>-189972</v>
      </c>
      <c r="AM13" s="29">
        <v>-159182</v>
      </c>
      <c r="AN13" s="29">
        <v>-163227</v>
      </c>
      <c r="AO13" s="29">
        <v>-174920</v>
      </c>
      <c r="AP13" s="41"/>
    </row>
    <row r="14" spans="1:42" s="110" customFormat="1" x14ac:dyDescent="0.25">
      <c r="A14" s="314" t="s">
        <v>234</v>
      </c>
      <c r="B14" s="111">
        <f>SUM(B12:B13)</f>
        <v>-765090</v>
      </c>
      <c r="C14" s="111">
        <v>-722733</v>
      </c>
      <c r="D14" s="111">
        <v>-700598</v>
      </c>
      <c r="E14" s="111">
        <f>E12+E13</f>
        <v>-692486</v>
      </c>
      <c r="F14" s="111">
        <v>-749054</v>
      </c>
      <c r="G14" s="111">
        <v>-749455</v>
      </c>
      <c r="H14" s="111">
        <f>SUM(H12:H13)</f>
        <v>-714691</v>
      </c>
      <c r="I14" s="111">
        <f t="shared" ref="I14:AO14" si="2">SUM(I12:I13)</f>
        <v>-681202</v>
      </c>
      <c r="J14" s="111">
        <f t="shared" si="2"/>
        <v>-733794</v>
      </c>
      <c r="K14" s="111">
        <f t="shared" si="2"/>
        <v>-744019</v>
      </c>
      <c r="L14" s="111">
        <f t="shared" si="2"/>
        <v>-698027</v>
      </c>
      <c r="M14" s="111">
        <f t="shared" si="2"/>
        <v>-637233</v>
      </c>
      <c r="N14" s="111">
        <f t="shared" si="2"/>
        <v>-690779</v>
      </c>
      <c r="O14" s="111">
        <f t="shared" si="2"/>
        <v>-672655</v>
      </c>
      <c r="P14" s="111">
        <f t="shared" si="2"/>
        <v>-524160</v>
      </c>
      <c r="Q14" s="111">
        <f t="shared" si="2"/>
        <v>-574405</v>
      </c>
      <c r="R14" s="111">
        <f t="shared" si="2"/>
        <v>-578100</v>
      </c>
      <c r="S14" s="111">
        <f t="shared" si="2"/>
        <v>-579343</v>
      </c>
      <c r="T14" s="111">
        <f t="shared" si="2"/>
        <v>-648217</v>
      </c>
      <c r="U14" s="111">
        <f t="shared" si="2"/>
        <v>-655299</v>
      </c>
      <c r="V14" s="111">
        <f t="shared" si="2"/>
        <v>-705836</v>
      </c>
      <c r="W14" s="111">
        <f t="shared" si="2"/>
        <v>-685382</v>
      </c>
      <c r="X14" s="111">
        <f t="shared" si="2"/>
        <v>-663374</v>
      </c>
      <c r="Y14" s="111">
        <f t="shared" si="2"/>
        <v>-618788</v>
      </c>
      <c r="Z14" s="111">
        <f t="shared" si="2"/>
        <v>-697306</v>
      </c>
      <c r="AA14" s="111">
        <f t="shared" si="2"/>
        <v>-806470</v>
      </c>
      <c r="AB14" s="111">
        <f t="shared" si="2"/>
        <v>-625670</v>
      </c>
      <c r="AC14" s="111">
        <f t="shared" si="2"/>
        <v>-574314</v>
      </c>
      <c r="AD14" s="111">
        <f t="shared" si="2"/>
        <v>-617235</v>
      </c>
      <c r="AE14" s="111">
        <f t="shared" si="2"/>
        <v>-625411</v>
      </c>
      <c r="AF14" s="111">
        <f t="shared" si="2"/>
        <v>-578544</v>
      </c>
      <c r="AG14" s="111">
        <f t="shared" si="2"/>
        <v>-501766</v>
      </c>
      <c r="AH14" s="111">
        <f t="shared" si="2"/>
        <v>-639512</v>
      </c>
      <c r="AI14" s="111">
        <f t="shared" si="2"/>
        <v>-507300</v>
      </c>
      <c r="AJ14" s="111">
        <f t="shared" si="2"/>
        <v>-519895</v>
      </c>
      <c r="AK14" s="111">
        <f t="shared" si="2"/>
        <v>-474453</v>
      </c>
      <c r="AL14" s="111">
        <f t="shared" si="2"/>
        <v>-514805</v>
      </c>
      <c r="AM14" s="111">
        <f t="shared" si="2"/>
        <v>-476977</v>
      </c>
      <c r="AN14" s="111">
        <f t="shared" si="2"/>
        <v>-457811</v>
      </c>
      <c r="AO14" s="111">
        <f t="shared" si="2"/>
        <v>-454170</v>
      </c>
    </row>
    <row r="15" spans="1:42" s="21" customFormat="1" x14ac:dyDescent="0.25">
      <c r="A15" s="179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41"/>
    </row>
    <row r="16" spans="1:42" s="114" customFormat="1" ht="15.75" x14ac:dyDescent="0.25">
      <c r="A16" s="188" t="s">
        <v>235</v>
      </c>
      <c r="B16" s="112">
        <f t="shared" ref="B16:H16" si="3">B10+B14</f>
        <v>664749</v>
      </c>
      <c r="C16" s="112">
        <f t="shared" si="3"/>
        <v>623430</v>
      </c>
      <c r="D16" s="112">
        <f t="shared" si="3"/>
        <v>545040</v>
      </c>
      <c r="E16" s="112">
        <f t="shared" si="3"/>
        <v>574817</v>
      </c>
      <c r="F16" s="112">
        <f t="shared" si="3"/>
        <v>636885</v>
      </c>
      <c r="G16" s="112">
        <f t="shared" si="3"/>
        <v>568181</v>
      </c>
      <c r="H16" s="112">
        <f t="shared" si="3"/>
        <v>478234</v>
      </c>
      <c r="I16" s="112">
        <f t="shared" ref="I16:AO16" si="4">I10+I14</f>
        <v>515660</v>
      </c>
      <c r="J16" s="112">
        <f t="shared" si="4"/>
        <v>493187</v>
      </c>
      <c r="K16" s="112">
        <f t="shared" si="4"/>
        <v>423736</v>
      </c>
      <c r="L16" s="112">
        <f t="shared" si="4"/>
        <v>451939</v>
      </c>
      <c r="M16" s="112">
        <f t="shared" si="4"/>
        <v>487068</v>
      </c>
      <c r="N16" s="112">
        <f t="shared" si="4"/>
        <v>476977</v>
      </c>
      <c r="O16" s="112">
        <f t="shared" si="4"/>
        <v>430477</v>
      </c>
      <c r="P16" s="112">
        <f t="shared" si="4"/>
        <v>464888</v>
      </c>
      <c r="Q16" s="112">
        <f t="shared" si="4"/>
        <v>466328</v>
      </c>
      <c r="R16" s="112">
        <f t="shared" si="4"/>
        <v>419262</v>
      </c>
      <c r="S16" s="112">
        <f t="shared" si="4"/>
        <v>458824</v>
      </c>
      <c r="T16" s="112">
        <f t="shared" si="4"/>
        <v>316995</v>
      </c>
      <c r="U16" s="112">
        <f t="shared" si="4"/>
        <v>352245</v>
      </c>
      <c r="V16" s="112">
        <f t="shared" si="4"/>
        <v>292499</v>
      </c>
      <c r="W16" s="112">
        <f t="shared" si="4"/>
        <v>308183</v>
      </c>
      <c r="X16" s="112">
        <f t="shared" si="4"/>
        <v>255951</v>
      </c>
      <c r="Y16" s="112">
        <f t="shared" si="4"/>
        <v>280700</v>
      </c>
      <c r="Z16" s="112">
        <f t="shared" si="4"/>
        <v>328034</v>
      </c>
      <c r="AA16" s="112">
        <f t="shared" si="4"/>
        <v>361336</v>
      </c>
      <c r="AB16" s="112">
        <f t="shared" si="4"/>
        <v>343225</v>
      </c>
      <c r="AC16" s="112">
        <f t="shared" si="4"/>
        <v>374101</v>
      </c>
      <c r="AD16" s="112">
        <f t="shared" si="4"/>
        <v>356785</v>
      </c>
      <c r="AE16" s="112">
        <f t="shared" si="4"/>
        <v>344616</v>
      </c>
      <c r="AF16" s="112">
        <f t="shared" si="4"/>
        <v>334779</v>
      </c>
      <c r="AG16" s="112">
        <f t="shared" si="4"/>
        <v>355683</v>
      </c>
      <c r="AH16" s="112">
        <f t="shared" si="4"/>
        <v>348604</v>
      </c>
      <c r="AI16" s="112">
        <f t="shared" si="4"/>
        <v>362173.30000000005</v>
      </c>
      <c r="AJ16" s="112">
        <f t="shared" si="4"/>
        <v>308975</v>
      </c>
      <c r="AK16" s="112">
        <f t="shared" si="4"/>
        <v>339028</v>
      </c>
      <c r="AL16" s="112">
        <f t="shared" si="4"/>
        <v>316950</v>
      </c>
      <c r="AM16" s="112">
        <f t="shared" si="4"/>
        <v>347276</v>
      </c>
      <c r="AN16" s="112">
        <f t="shared" si="4"/>
        <v>320908</v>
      </c>
      <c r="AO16" s="112">
        <f t="shared" si="4"/>
        <v>321969</v>
      </c>
      <c r="AP16" s="327"/>
    </row>
    <row r="17" spans="1:42" x14ac:dyDescent="0.25">
      <c r="A17" s="180"/>
      <c r="B17" s="104"/>
      <c r="C17" s="104"/>
      <c r="D17" s="104"/>
      <c r="E17" s="104"/>
      <c r="F17" s="104"/>
      <c r="G17" s="104"/>
      <c r="H17" s="104"/>
      <c r="I17" s="104"/>
      <c r="J17" s="105"/>
      <c r="K17" s="175"/>
      <c r="L17" s="181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</row>
    <row r="18" spans="1:42" s="21" customFormat="1" x14ac:dyDescent="0.25">
      <c r="A18" s="173" t="s">
        <v>236</v>
      </c>
      <c r="B18" s="29">
        <v>-144821</v>
      </c>
      <c r="C18" s="29">
        <v>-149907</v>
      </c>
      <c r="D18" s="29">
        <v>-192314</v>
      </c>
      <c r="E18" s="29">
        <v>-105768</v>
      </c>
      <c r="F18" s="29">
        <v>-96286</v>
      </c>
      <c r="G18" s="29">
        <v>-97036</v>
      </c>
      <c r="H18" s="29">
        <v>-96439</v>
      </c>
      <c r="I18" s="29">
        <v>-99115</v>
      </c>
      <c r="J18" s="29">
        <v>-103798</v>
      </c>
      <c r="K18" s="29">
        <v>-139254</v>
      </c>
      <c r="L18" s="29">
        <v>-109108</v>
      </c>
      <c r="M18" s="29">
        <v>-102696</v>
      </c>
      <c r="N18" s="29">
        <v>-97210</v>
      </c>
      <c r="O18" s="29">
        <v>-102486</v>
      </c>
      <c r="P18" s="29">
        <v>-93451</v>
      </c>
      <c r="Q18" s="29">
        <v>-93783</v>
      </c>
      <c r="R18" s="29">
        <v>-86337</v>
      </c>
      <c r="S18" s="29">
        <v>-86629</v>
      </c>
      <c r="T18" s="29">
        <v>-88769</v>
      </c>
      <c r="U18" s="29">
        <v>-82875</v>
      </c>
      <c r="V18" s="29">
        <v>-83224</v>
      </c>
      <c r="W18" s="29">
        <v>-77887</v>
      </c>
      <c r="X18" s="29">
        <v>-87091</v>
      </c>
      <c r="Y18" s="29">
        <v>-67769</v>
      </c>
      <c r="Z18" s="29">
        <v>-68700</v>
      </c>
      <c r="AA18" s="29">
        <v>-66262</v>
      </c>
      <c r="AB18" s="29">
        <v>-67926</v>
      </c>
      <c r="AC18" s="29">
        <v>-60420</v>
      </c>
      <c r="AD18" s="29">
        <v>-65017</v>
      </c>
      <c r="AE18" s="29">
        <v>-59122</v>
      </c>
      <c r="AF18" s="29">
        <v>-54725</v>
      </c>
      <c r="AG18" s="29">
        <v>-51704</v>
      </c>
      <c r="AH18" s="29">
        <v>-51275</v>
      </c>
      <c r="AI18" s="29">
        <v>-56719.199999999997</v>
      </c>
      <c r="AJ18" s="29">
        <v>-48789</v>
      </c>
      <c r="AK18" s="29">
        <v>-55077</v>
      </c>
      <c r="AL18" s="29">
        <v>-47698</v>
      </c>
      <c r="AM18" s="29">
        <v>-45785</v>
      </c>
      <c r="AN18" s="29">
        <v>-42027</v>
      </c>
      <c r="AO18" s="29">
        <v>-39847</v>
      </c>
      <c r="AP18" s="41"/>
    </row>
    <row r="19" spans="1:42" x14ac:dyDescent="0.25">
      <c r="A19" s="180" t="s">
        <v>237</v>
      </c>
      <c r="B19" s="32">
        <v>-134107</v>
      </c>
      <c r="C19" s="32">
        <v>-121519</v>
      </c>
      <c r="D19" s="32">
        <v>-113215</v>
      </c>
      <c r="E19" s="32">
        <v>-126631</v>
      </c>
      <c r="F19" s="32">
        <v>-130703</v>
      </c>
      <c r="G19" s="32">
        <v>-120737</v>
      </c>
      <c r="H19" s="32">
        <v>-119550</v>
      </c>
      <c r="I19" s="32">
        <v>-108990</v>
      </c>
      <c r="J19" s="120">
        <v>-121264</v>
      </c>
      <c r="K19" s="32">
        <v>-113881</v>
      </c>
      <c r="L19" s="120">
        <v>-130683</v>
      </c>
      <c r="M19" s="120">
        <v>-118279</v>
      </c>
      <c r="N19" s="120">
        <v>-131345</v>
      </c>
      <c r="O19" s="120">
        <v>-55872</v>
      </c>
      <c r="P19" s="120">
        <v>-177552</v>
      </c>
      <c r="Q19" s="120">
        <v>-106343</v>
      </c>
      <c r="R19" s="120">
        <v>-111536</v>
      </c>
      <c r="S19" s="120">
        <v>-107839</v>
      </c>
      <c r="T19" s="120">
        <v>-30125</v>
      </c>
      <c r="U19" s="120">
        <v>-97964</v>
      </c>
      <c r="V19" s="120">
        <v>-198533</v>
      </c>
      <c r="W19" s="120">
        <v>-96246</v>
      </c>
      <c r="X19" s="120">
        <v>-116625</v>
      </c>
      <c r="Y19" s="120">
        <v>-109629</v>
      </c>
      <c r="Z19" s="120">
        <v>-120958</v>
      </c>
      <c r="AA19" s="120">
        <v>-110720</v>
      </c>
      <c r="AB19" s="120">
        <v>-110781</v>
      </c>
      <c r="AC19" s="120">
        <v>-102831</v>
      </c>
      <c r="AD19" s="120">
        <v>-115175</v>
      </c>
      <c r="AE19" s="120">
        <v>-106590</v>
      </c>
      <c r="AF19" s="120">
        <v>-111998</v>
      </c>
      <c r="AG19" s="120">
        <v>-89768</v>
      </c>
      <c r="AH19" s="120">
        <v>-89313</v>
      </c>
      <c r="AI19" s="120">
        <v>-102307.2</v>
      </c>
      <c r="AJ19" s="120">
        <v>-86155</v>
      </c>
      <c r="AK19" s="120">
        <v>-91228</v>
      </c>
      <c r="AL19" s="120">
        <v>-102863</v>
      </c>
      <c r="AM19" s="120">
        <v>-97130</v>
      </c>
      <c r="AN19" s="120">
        <v>-85197</v>
      </c>
      <c r="AO19" s="120">
        <v>-77290</v>
      </c>
    </row>
    <row r="20" spans="1:42" s="21" customFormat="1" x14ac:dyDescent="0.25">
      <c r="A20" s="173" t="s">
        <v>239</v>
      </c>
      <c r="B20" s="29">
        <v>50989</v>
      </c>
      <c r="C20" s="29">
        <v>64667</v>
      </c>
      <c r="D20" s="29">
        <v>26408</v>
      </c>
      <c r="E20" s="29">
        <v>29277</v>
      </c>
      <c r="F20" s="29">
        <v>27383</v>
      </c>
      <c r="G20" s="29">
        <v>23457</v>
      </c>
      <c r="H20" s="29">
        <v>19146</v>
      </c>
      <c r="I20" s="29">
        <v>37951</v>
      </c>
      <c r="J20" s="29">
        <v>38714</v>
      </c>
      <c r="K20" s="29">
        <v>84897</v>
      </c>
      <c r="L20" s="29">
        <v>32521</v>
      </c>
      <c r="M20" s="29">
        <v>40003</v>
      </c>
      <c r="N20" s="29">
        <v>50991</v>
      </c>
      <c r="O20" s="29">
        <v>60714</v>
      </c>
      <c r="P20" s="29">
        <v>49728</v>
      </c>
      <c r="Q20" s="29">
        <v>86363</v>
      </c>
      <c r="R20" s="29">
        <v>87922</v>
      </c>
      <c r="S20" s="29">
        <v>36022</v>
      </c>
      <c r="T20" s="29">
        <v>29591</v>
      </c>
      <c r="U20" s="29">
        <v>36748</v>
      </c>
      <c r="V20" s="29">
        <v>80184</v>
      </c>
      <c r="W20" s="29">
        <v>65231</v>
      </c>
      <c r="X20" s="29">
        <v>33069</v>
      </c>
      <c r="Y20" s="29">
        <v>26707</v>
      </c>
      <c r="Z20" s="29">
        <v>33249</v>
      </c>
      <c r="AA20" s="29">
        <v>33448</v>
      </c>
      <c r="AB20" s="29">
        <v>24691</v>
      </c>
      <c r="AC20" s="29">
        <v>18959</v>
      </c>
      <c r="AD20" s="29">
        <v>42173</v>
      </c>
      <c r="AE20" s="29">
        <v>43661</v>
      </c>
      <c r="AF20" s="29">
        <v>11715</v>
      </c>
      <c r="AG20" s="29">
        <v>11178</v>
      </c>
      <c r="AH20" s="29">
        <v>32498</v>
      </c>
      <c r="AI20" s="29">
        <v>12235.8</v>
      </c>
      <c r="AJ20" s="29">
        <v>32774</v>
      </c>
      <c r="AK20" s="29">
        <v>44823</v>
      </c>
      <c r="AL20" s="29">
        <v>10842</v>
      </c>
      <c r="AM20" s="29">
        <v>19477</v>
      </c>
      <c r="AN20" s="29">
        <v>14314</v>
      </c>
      <c r="AO20" s="29">
        <v>34069</v>
      </c>
      <c r="AP20" s="41"/>
    </row>
    <row r="21" spans="1:42" x14ac:dyDescent="0.25">
      <c r="A21" s="180" t="s">
        <v>238</v>
      </c>
      <c r="B21" s="32">
        <v>-57276</v>
      </c>
      <c r="C21" s="32">
        <v>-47305</v>
      </c>
      <c r="D21" s="32">
        <v>-45431</v>
      </c>
      <c r="E21" s="32">
        <v>-47248</v>
      </c>
      <c r="F21" s="32">
        <v>-60501</v>
      </c>
      <c r="G21" s="32">
        <v>-52664</v>
      </c>
      <c r="H21" s="32">
        <v>-74869</v>
      </c>
      <c r="I21" s="32">
        <v>-33137</v>
      </c>
      <c r="J21" s="120">
        <v>-34962</v>
      </c>
      <c r="K21" s="32">
        <v>-37182.6</v>
      </c>
      <c r="L21" s="120">
        <v>-31972</v>
      </c>
      <c r="M21" s="120">
        <v>-35496</v>
      </c>
      <c r="N21" s="120">
        <v>-29933</v>
      </c>
      <c r="O21" s="120">
        <v>-80200</v>
      </c>
      <c r="P21" s="120">
        <v>-30855</v>
      </c>
      <c r="Q21" s="120">
        <v>-85834</v>
      </c>
      <c r="R21" s="120">
        <v>-60248</v>
      </c>
      <c r="S21" s="120">
        <v>-86639</v>
      </c>
      <c r="T21" s="120">
        <v>-34801</v>
      </c>
      <c r="U21" s="120">
        <v>-30771</v>
      </c>
      <c r="V21" s="120">
        <v>-88987</v>
      </c>
      <c r="W21" s="120">
        <v>-49488</v>
      </c>
      <c r="X21" s="120">
        <v>-24294</v>
      </c>
      <c r="Y21" s="120">
        <v>-27724</v>
      </c>
      <c r="Z21" s="120">
        <v>-79788</v>
      </c>
      <c r="AA21" s="120">
        <v>-25087</v>
      </c>
      <c r="AB21" s="120">
        <v>-29653</v>
      </c>
      <c r="AC21" s="120">
        <v>-25221</v>
      </c>
      <c r="AD21" s="120">
        <v>-27784</v>
      </c>
      <c r="AE21" s="120">
        <v>-17057</v>
      </c>
      <c r="AF21" s="120">
        <v>-17344</v>
      </c>
      <c r="AG21" s="120">
        <v>-19531</v>
      </c>
      <c r="AH21" s="120">
        <v>-33236</v>
      </c>
      <c r="AI21" s="120">
        <v>-12839</v>
      </c>
      <c r="AJ21" s="120">
        <v>-15194</v>
      </c>
      <c r="AK21" s="120">
        <v>-28359</v>
      </c>
      <c r="AL21" s="120">
        <v>-12860</v>
      </c>
      <c r="AM21" s="120">
        <v>-16446</v>
      </c>
      <c r="AN21" s="120">
        <v>-21421</v>
      </c>
      <c r="AO21" s="120">
        <v>-12659</v>
      </c>
    </row>
    <row r="22" spans="1:42" s="21" customFormat="1" x14ac:dyDescent="0.25">
      <c r="A22" s="173" t="s">
        <v>74</v>
      </c>
      <c r="B22" s="29">
        <v>0</v>
      </c>
      <c r="C22" s="29">
        <v>0</v>
      </c>
      <c r="D22" s="29">
        <v>0</v>
      </c>
      <c r="E22" s="29">
        <v>0</v>
      </c>
      <c r="F22" s="29">
        <v>-16331</v>
      </c>
      <c r="G22" s="29">
        <v>-12222</v>
      </c>
      <c r="H22" s="29">
        <v>-7519</v>
      </c>
      <c r="I22" s="29">
        <v>-11827</v>
      </c>
      <c r="J22" s="29">
        <v>-11536</v>
      </c>
      <c r="K22" s="29">
        <v>-7999</v>
      </c>
      <c r="L22" s="29">
        <v>-6977</v>
      </c>
      <c r="M22" s="29">
        <v>-10401</v>
      </c>
      <c r="N22" s="29">
        <v>-9761</v>
      </c>
      <c r="O22" s="29">
        <v>-9424</v>
      </c>
      <c r="P22" s="29">
        <v>-6961</v>
      </c>
      <c r="Q22" s="29">
        <v>-9090</v>
      </c>
      <c r="R22" s="29">
        <v>-8266</v>
      </c>
      <c r="S22" s="29">
        <v>-6865</v>
      </c>
      <c r="T22" s="29">
        <v>-9887</v>
      </c>
      <c r="U22" s="29">
        <v>-2155</v>
      </c>
      <c r="V22" s="29">
        <v>1565</v>
      </c>
      <c r="W22" s="53">
        <v>392</v>
      </c>
      <c r="X22" s="53">
        <v>-639</v>
      </c>
      <c r="Y22" s="29">
        <v>-1318</v>
      </c>
      <c r="Z22" s="29">
        <v>-2793</v>
      </c>
      <c r="AA22" s="29">
        <v>-5631</v>
      </c>
      <c r="AB22" s="29">
        <v>-4765</v>
      </c>
      <c r="AC22" s="29">
        <v>-6628</v>
      </c>
      <c r="AD22" s="29">
        <v>-11061</v>
      </c>
      <c r="AE22" s="29">
        <v>-8224</v>
      </c>
      <c r="AF22" s="29">
        <v>-5480</v>
      </c>
      <c r="AG22" s="29">
        <v>-7905</v>
      </c>
      <c r="AH22" s="29">
        <v>-5342</v>
      </c>
      <c r="AI22" s="29">
        <v>-7808</v>
      </c>
      <c r="AJ22" s="29">
        <v>-6777</v>
      </c>
      <c r="AK22" s="29">
        <v>-7685</v>
      </c>
      <c r="AL22" s="29">
        <v>-4897</v>
      </c>
      <c r="AM22" s="29">
        <v>-8353</v>
      </c>
      <c r="AN22" s="29">
        <v>-7323</v>
      </c>
      <c r="AO22" s="29">
        <v>-7744</v>
      </c>
      <c r="AP22" s="41"/>
    </row>
    <row r="23" spans="1:42" x14ac:dyDescent="0.25">
      <c r="A23" s="180" t="s">
        <v>240</v>
      </c>
      <c r="B23" s="32">
        <v>2241</v>
      </c>
      <c r="C23" s="32">
        <v>-3802</v>
      </c>
      <c r="D23" s="32">
        <v>-2042</v>
      </c>
      <c r="E23" s="32">
        <v>-8984</v>
      </c>
      <c r="F23" s="32">
        <v>-3373</v>
      </c>
      <c r="G23" s="32">
        <v>-4332</v>
      </c>
      <c r="H23" s="32">
        <v>-1710</v>
      </c>
      <c r="I23" s="32">
        <v>-3357</v>
      </c>
      <c r="J23" s="120">
        <v>-4662</v>
      </c>
      <c r="K23" s="32">
        <v>-4565.3999999999996</v>
      </c>
      <c r="L23" s="120">
        <v>-2580</v>
      </c>
      <c r="M23" s="120">
        <v>-1191</v>
      </c>
      <c r="N23" s="120">
        <v>-1785</v>
      </c>
      <c r="O23" s="120">
        <v>-2204</v>
      </c>
      <c r="P23" s="120">
        <v>-2125</v>
      </c>
      <c r="Q23" s="120">
        <v>-1292</v>
      </c>
      <c r="R23" s="119">
        <v>-215</v>
      </c>
      <c r="S23" s="119">
        <v>-486</v>
      </c>
      <c r="T23" s="120">
        <v>-3802</v>
      </c>
      <c r="U23" s="119">
        <v>-163</v>
      </c>
      <c r="V23" s="120">
        <v>-1267</v>
      </c>
      <c r="W23" s="119">
        <v>270</v>
      </c>
      <c r="X23" s="120">
        <v>2506</v>
      </c>
      <c r="Y23" s="120">
        <v>-2409</v>
      </c>
      <c r="Z23" s="119">
        <v>-588</v>
      </c>
      <c r="AA23" s="120">
        <v>-4468</v>
      </c>
      <c r="AB23" s="120">
        <v>-1867</v>
      </c>
      <c r="AC23" s="120">
        <v>-2502</v>
      </c>
      <c r="AD23" s="120">
        <v>4575</v>
      </c>
      <c r="AE23" s="120">
        <v>-3098</v>
      </c>
      <c r="AF23" s="120">
        <v>-4688</v>
      </c>
      <c r="AG23" s="120">
        <v>-3966</v>
      </c>
      <c r="AH23" s="120">
        <v>-3778</v>
      </c>
      <c r="AI23" s="120">
        <v>-4468</v>
      </c>
      <c r="AJ23" s="120">
        <v>-2942</v>
      </c>
      <c r="AK23" s="120">
        <v>-2132</v>
      </c>
      <c r="AL23" s="120">
        <v>-6098</v>
      </c>
      <c r="AM23" s="120">
        <v>-4158</v>
      </c>
      <c r="AN23" s="120">
        <v>-3880</v>
      </c>
      <c r="AO23" s="120">
        <v>-4401</v>
      </c>
    </row>
    <row r="24" spans="1:42" s="30" customFormat="1" x14ac:dyDescent="0.25">
      <c r="A24" s="124"/>
      <c r="B24" s="106"/>
      <c r="C24" s="106"/>
      <c r="D24" s="106"/>
      <c r="E24" s="106"/>
      <c r="F24" s="106"/>
      <c r="G24" s="106"/>
      <c r="H24" s="106"/>
      <c r="I24" s="106"/>
      <c r="J24" s="107"/>
      <c r="K24" s="177"/>
      <c r="L24" s="17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33"/>
    </row>
    <row r="25" spans="1:42" s="117" customFormat="1" ht="15.75" x14ac:dyDescent="0.25">
      <c r="A25" s="189" t="s">
        <v>242</v>
      </c>
      <c r="B25" s="112">
        <f t="shared" ref="B25" si="5">SUM(B18:B24)</f>
        <v>-282974</v>
      </c>
      <c r="C25" s="112">
        <f t="shared" ref="C25:H25" si="6">SUM(C18:C24)</f>
        <v>-257866</v>
      </c>
      <c r="D25" s="112">
        <f t="shared" si="6"/>
        <v>-326594</v>
      </c>
      <c r="E25" s="112">
        <f t="shared" si="6"/>
        <v>-259354</v>
      </c>
      <c r="F25" s="112">
        <f t="shared" si="6"/>
        <v>-279811</v>
      </c>
      <c r="G25" s="112">
        <f t="shared" si="6"/>
        <v>-263534</v>
      </c>
      <c r="H25" s="112">
        <f t="shared" si="6"/>
        <v>-280941</v>
      </c>
      <c r="I25" s="112">
        <f t="shared" ref="I25:AO25" si="7">SUM(I18:I24)</f>
        <v>-218475</v>
      </c>
      <c r="J25" s="112">
        <f t="shared" si="7"/>
        <v>-237508</v>
      </c>
      <c r="K25" s="112">
        <f t="shared" si="7"/>
        <v>-217985</v>
      </c>
      <c r="L25" s="112">
        <f t="shared" si="7"/>
        <v>-248799</v>
      </c>
      <c r="M25" s="112">
        <f t="shared" si="7"/>
        <v>-228060</v>
      </c>
      <c r="N25" s="112">
        <f t="shared" si="7"/>
        <v>-219043</v>
      </c>
      <c r="O25" s="112">
        <f t="shared" si="7"/>
        <v>-189472</v>
      </c>
      <c r="P25" s="112">
        <f t="shared" si="7"/>
        <v>-261216</v>
      </c>
      <c r="Q25" s="112">
        <f t="shared" si="7"/>
        <v>-209979</v>
      </c>
      <c r="R25" s="112">
        <f t="shared" si="7"/>
        <v>-178680</v>
      </c>
      <c r="S25" s="112">
        <f t="shared" si="7"/>
        <v>-252436</v>
      </c>
      <c r="T25" s="112">
        <f t="shared" si="7"/>
        <v>-137793</v>
      </c>
      <c r="U25" s="112">
        <f t="shared" si="7"/>
        <v>-177180</v>
      </c>
      <c r="V25" s="112">
        <f t="shared" si="7"/>
        <v>-290262</v>
      </c>
      <c r="W25" s="112">
        <f t="shared" si="7"/>
        <v>-157728</v>
      </c>
      <c r="X25" s="112">
        <f t="shared" si="7"/>
        <v>-193074</v>
      </c>
      <c r="Y25" s="112">
        <f t="shared" si="7"/>
        <v>-182142</v>
      </c>
      <c r="Z25" s="112">
        <f t="shared" si="7"/>
        <v>-239578</v>
      </c>
      <c r="AA25" s="112">
        <f t="shared" si="7"/>
        <v>-178720</v>
      </c>
      <c r="AB25" s="112">
        <f t="shared" si="7"/>
        <v>-190301</v>
      </c>
      <c r="AC25" s="112">
        <f t="shared" si="7"/>
        <v>-178643</v>
      </c>
      <c r="AD25" s="112">
        <f t="shared" si="7"/>
        <v>-172289</v>
      </c>
      <c r="AE25" s="112">
        <f t="shared" si="7"/>
        <v>-150430</v>
      </c>
      <c r="AF25" s="112">
        <f t="shared" si="7"/>
        <v>-182520</v>
      </c>
      <c r="AG25" s="112">
        <f t="shared" si="7"/>
        <v>-161696</v>
      </c>
      <c r="AH25" s="112">
        <f t="shared" si="7"/>
        <v>-150446</v>
      </c>
      <c r="AI25" s="112">
        <f t="shared" si="7"/>
        <v>-171905.6</v>
      </c>
      <c r="AJ25" s="112">
        <f t="shared" si="7"/>
        <v>-127083</v>
      </c>
      <c r="AK25" s="112">
        <f t="shared" si="7"/>
        <v>-139658</v>
      </c>
      <c r="AL25" s="112">
        <f t="shared" si="7"/>
        <v>-163574</v>
      </c>
      <c r="AM25" s="112">
        <f t="shared" si="7"/>
        <v>-152395</v>
      </c>
      <c r="AN25" s="112">
        <f t="shared" si="7"/>
        <v>-145534</v>
      </c>
      <c r="AO25" s="112">
        <f t="shared" si="7"/>
        <v>-107872</v>
      </c>
      <c r="AP25" s="163"/>
    </row>
    <row r="26" spans="1:42" s="117" customFormat="1" ht="15.75" x14ac:dyDescent="0.25">
      <c r="A26" s="189" t="s">
        <v>241</v>
      </c>
      <c r="B26" s="112">
        <f t="shared" ref="B26" si="8">B16+B25</f>
        <v>381775</v>
      </c>
      <c r="C26" s="112">
        <f t="shared" ref="C26:H26" si="9">C16+C25</f>
        <v>365564</v>
      </c>
      <c r="D26" s="112">
        <f t="shared" si="9"/>
        <v>218446</v>
      </c>
      <c r="E26" s="112">
        <f t="shared" si="9"/>
        <v>315463</v>
      </c>
      <c r="F26" s="112">
        <f t="shared" si="9"/>
        <v>357074</v>
      </c>
      <c r="G26" s="112">
        <f t="shared" si="9"/>
        <v>304647</v>
      </c>
      <c r="H26" s="112">
        <f t="shared" si="9"/>
        <v>197293</v>
      </c>
      <c r="I26" s="112">
        <f t="shared" ref="I26:AO26" si="10">I16+I25</f>
        <v>297185</v>
      </c>
      <c r="J26" s="112">
        <f t="shared" si="10"/>
        <v>255679</v>
      </c>
      <c r="K26" s="112">
        <f t="shared" si="10"/>
        <v>205751</v>
      </c>
      <c r="L26" s="112">
        <f t="shared" si="10"/>
        <v>203140</v>
      </c>
      <c r="M26" s="112">
        <f t="shared" si="10"/>
        <v>259008</v>
      </c>
      <c r="N26" s="112">
        <f t="shared" si="10"/>
        <v>257934</v>
      </c>
      <c r="O26" s="112">
        <f t="shared" si="10"/>
        <v>241005</v>
      </c>
      <c r="P26" s="112">
        <f t="shared" si="10"/>
        <v>203672</v>
      </c>
      <c r="Q26" s="112">
        <f t="shared" si="10"/>
        <v>256349</v>
      </c>
      <c r="R26" s="112">
        <f t="shared" si="10"/>
        <v>240582</v>
      </c>
      <c r="S26" s="112">
        <f t="shared" si="10"/>
        <v>206388</v>
      </c>
      <c r="T26" s="112">
        <f t="shared" si="10"/>
        <v>179202</v>
      </c>
      <c r="U26" s="112">
        <f t="shared" si="10"/>
        <v>175065</v>
      </c>
      <c r="V26" s="112">
        <f t="shared" si="10"/>
        <v>2237</v>
      </c>
      <c r="W26" s="112">
        <f t="shared" si="10"/>
        <v>150455</v>
      </c>
      <c r="X26" s="112">
        <f t="shared" si="10"/>
        <v>62877</v>
      </c>
      <c r="Y26" s="112">
        <f t="shared" si="10"/>
        <v>98558</v>
      </c>
      <c r="Z26" s="112">
        <f t="shared" si="10"/>
        <v>88456</v>
      </c>
      <c r="AA26" s="112">
        <f t="shared" si="10"/>
        <v>182616</v>
      </c>
      <c r="AB26" s="112">
        <f t="shared" si="10"/>
        <v>152924</v>
      </c>
      <c r="AC26" s="112">
        <f t="shared" si="10"/>
        <v>195458</v>
      </c>
      <c r="AD26" s="112">
        <f t="shared" si="10"/>
        <v>184496</v>
      </c>
      <c r="AE26" s="112">
        <f t="shared" si="10"/>
        <v>194186</v>
      </c>
      <c r="AF26" s="112">
        <f t="shared" si="10"/>
        <v>152259</v>
      </c>
      <c r="AG26" s="112">
        <f>AG16+AG25</f>
        <v>193987</v>
      </c>
      <c r="AH26" s="112">
        <f t="shared" si="10"/>
        <v>198158</v>
      </c>
      <c r="AI26" s="112">
        <f>AI16+AI25</f>
        <v>190267.70000000004</v>
      </c>
      <c r="AJ26" s="112">
        <f t="shared" si="10"/>
        <v>181892</v>
      </c>
      <c r="AK26" s="112">
        <f t="shared" si="10"/>
        <v>199370</v>
      </c>
      <c r="AL26" s="112">
        <f t="shared" si="10"/>
        <v>153376</v>
      </c>
      <c r="AM26" s="112">
        <f t="shared" si="10"/>
        <v>194881</v>
      </c>
      <c r="AN26" s="112">
        <f t="shared" si="10"/>
        <v>175374</v>
      </c>
      <c r="AO26" s="112">
        <f t="shared" si="10"/>
        <v>214097</v>
      </c>
      <c r="AP26" s="163"/>
    </row>
    <row r="27" spans="1:42" x14ac:dyDescent="0.25">
      <c r="A27" s="182"/>
      <c r="B27" s="175"/>
      <c r="C27" s="175"/>
      <c r="D27" s="175"/>
      <c r="E27" s="175"/>
      <c r="F27" s="175"/>
      <c r="G27" s="175"/>
      <c r="H27" s="175"/>
      <c r="I27" s="175"/>
      <c r="J27" s="181"/>
      <c r="K27" s="175"/>
      <c r="L27" s="181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</row>
    <row r="28" spans="1:42" s="30" customFormat="1" x14ac:dyDescent="0.25">
      <c r="A28" s="124" t="s">
        <v>304</v>
      </c>
      <c r="B28" s="29">
        <v>17184</v>
      </c>
      <c r="C28" s="29">
        <v>35555</v>
      </c>
      <c r="D28" s="29">
        <v>41011</v>
      </c>
      <c r="E28" s="29">
        <v>52212</v>
      </c>
      <c r="F28" s="29">
        <v>35108</v>
      </c>
      <c r="G28" s="29">
        <v>28648</v>
      </c>
      <c r="H28" s="29">
        <v>29667</v>
      </c>
      <c r="I28" s="29">
        <v>22124</v>
      </c>
      <c r="J28" s="122">
        <v>22514</v>
      </c>
      <c r="K28" s="29">
        <v>41715</v>
      </c>
      <c r="L28" s="122">
        <v>31665</v>
      </c>
      <c r="M28" s="122">
        <v>20668</v>
      </c>
      <c r="N28" s="122">
        <v>23698</v>
      </c>
      <c r="O28" s="122">
        <v>28558</v>
      </c>
      <c r="P28" s="122">
        <v>43361</v>
      </c>
      <c r="Q28" s="122">
        <v>36528</v>
      </c>
      <c r="R28" s="122">
        <v>52648</v>
      </c>
      <c r="S28" s="122">
        <v>29033</v>
      </c>
      <c r="T28" s="122">
        <v>73542</v>
      </c>
      <c r="U28" s="122">
        <v>47027</v>
      </c>
      <c r="V28" s="122">
        <v>32992</v>
      </c>
      <c r="W28" s="122">
        <v>42533</v>
      </c>
      <c r="X28" s="122">
        <v>15445</v>
      </c>
      <c r="Y28" s="122">
        <v>30585</v>
      </c>
      <c r="Z28" s="122">
        <v>18053</v>
      </c>
      <c r="AA28" s="122">
        <v>11851</v>
      </c>
      <c r="AB28" s="122">
        <v>24846</v>
      </c>
      <c r="AC28" s="122">
        <v>22924</v>
      </c>
      <c r="AD28" s="122">
        <v>16143</v>
      </c>
      <c r="AE28" s="122">
        <v>25564</v>
      </c>
      <c r="AF28" s="122">
        <v>21873</v>
      </c>
      <c r="AG28" s="122">
        <v>22255</v>
      </c>
      <c r="AH28" s="122">
        <v>29709</v>
      </c>
      <c r="AI28" s="122">
        <v>46540</v>
      </c>
      <c r="AJ28" s="122">
        <v>28297</v>
      </c>
      <c r="AK28" s="122">
        <v>30171</v>
      </c>
      <c r="AL28" s="122">
        <v>26567</v>
      </c>
      <c r="AM28" s="122">
        <v>24638</v>
      </c>
      <c r="AN28" s="122">
        <v>24848</v>
      </c>
      <c r="AO28" s="122">
        <v>20279</v>
      </c>
      <c r="AP28" s="33"/>
    </row>
    <row r="29" spans="1:42" x14ac:dyDescent="0.25">
      <c r="A29" s="182" t="s">
        <v>305</v>
      </c>
      <c r="B29" s="32">
        <v>-42580</v>
      </c>
      <c r="C29" s="32">
        <v>-73393</v>
      </c>
      <c r="D29" s="32">
        <v>-61062</v>
      </c>
      <c r="E29" s="32">
        <v>-144900</v>
      </c>
      <c r="F29" s="32">
        <v>-57525</v>
      </c>
      <c r="G29" s="32">
        <v>-67838</v>
      </c>
      <c r="H29" s="32">
        <v>-60486</v>
      </c>
      <c r="I29" s="32">
        <v>-63593</v>
      </c>
      <c r="J29" s="120">
        <v>-57324</v>
      </c>
      <c r="K29" s="32">
        <v>-83387</v>
      </c>
      <c r="L29" s="120">
        <v>-95942</v>
      </c>
      <c r="M29" s="120">
        <v>-71615</v>
      </c>
      <c r="N29" s="120">
        <v>-79621</v>
      </c>
      <c r="O29" s="120">
        <v>-64094</v>
      </c>
      <c r="P29" s="120">
        <v>-101258</v>
      </c>
      <c r="Q29" s="120">
        <v>-87432</v>
      </c>
      <c r="R29" s="120">
        <v>-103773</v>
      </c>
      <c r="S29" s="120">
        <v>-87509</v>
      </c>
      <c r="T29" s="120">
        <v>-98379</v>
      </c>
      <c r="U29" s="120">
        <v>-113794</v>
      </c>
      <c r="V29" s="120">
        <v>-83440</v>
      </c>
      <c r="W29" s="120">
        <v>-184989</v>
      </c>
      <c r="X29" s="120">
        <v>-84296</v>
      </c>
      <c r="Y29" s="120">
        <v>-111899</v>
      </c>
      <c r="Z29" s="120">
        <v>-68685</v>
      </c>
      <c r="AA29" s="120">
        <v>-60253</v>
      </c>
      <c r="AB29" s="120">
        <v>-68457</v>
      </c>
      <c r="AC29" s="120">
        <v>-67089</v>
      </c>
      <c r="AD29" s="120">
        <v>-64204</v>
      </c>
      <c r="AE29" s="120">
        <v>-55843</v>
      </c>
      <c r="AF29" s="120">
        <v>-65075</v>
      </c>
      <c r="AG29" s="120">
        <v>-59481</v>
      </c>
      <c r="AH29" s="120">
        <v>-61706</v>
      </c>
      <c r="AI29" s="120">
        <v>-69951</v>
      </c>
      <c r="AJ29" s="120">
        <v>-64625</v>
      </c>
      <c r="AK29" s="120">
        <v>-61089</v>
      </c>
      <c r="AL29" s="120">
        <v>-57129</v>
      </c>
      <c r="AM29" s="120">
        <v>-48953</v>
      </c>
      <c r="AN29" s="120">
        <v>-39669</v>
      </c>
      <c r="AO29" s="120">
        <v>-39437</v>
      </c>
    </row>
    <row r="30" spans="1:42" s="30" customFormat="1" x14ac:dyDescent="0.25">
      <c r="A30" s="124"/>
      <c r="B30" s="29"/>
      <c r="C30" s="29"/>
      <c r="D30" s="29"/>
      <c r="E30" s="29"/>
      <c r="F30" s="29"/>
      <c r="G30" s="29"/>
      <c r="H30" s="29"/>
      <c r="I30" s="29"/>
      <c r="J30" s="122"/>
      <c r="K30" s="29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33"/>
    </row>
    <row r="31" spans="1:42" s="117" customFormat="1" ht="15.75" x14ac:dyDescent="0.25">
      <c r="A31" s="189" t="s">
        <v>243</v>
      </c>
      <c r="B31" s="113">
        <f>SUM(B28:B29)</f>
        <v>-25396</v>
      </c>
      <c r="C31" s="113">
        <f>SUM(C28:C29)</f>
        <v>-37838</v>
      </c>
      <c r="D31" s="113">
        <f>SUM(D28:D29)</f>
        <v>-20051</v>
      </c>
      <c r="E31" s="113">
        <f>SUM(E28:E30)</f>
        <v>-92688</v>
      </c>
      <c r="F31" s="113">
        <f>SUM(F28:F30)</f>
        <v>-22417</v>
      </c>
      <c r="G31" s="113">
        <f>SUM(G28:G30)</f>
        <v>-39190</v>
      </c>
      <c r="H31" s="113">
        <f>SUM(H28:H30)</f>
        <v>-30819</v>
      </c>
      <c r="I31" s="113">
        <f t="shared" ref="I31:AO31" si="11">SUM(I28:I30)</f>
        <v>-41469</v>
      </c>
      <c r="J31" s="113">
        <f t="shared" si="11"/>
        <v>-34810</v>
      </c>
      <c r="K31" s="113">
        <f t="shared" si="11"/>
        <v>-41672</v>
      </c>
      <c r="L31" s="113">
        <f t="shared" si="11"/>
        <v>-64277</v>
      </c>
      <c r="M31" s="113">
        <f t="shared" si="11"/>
        <v>-50947</v>
      </c>
      <c r="N31" s="113">
        <f t="shared" si="11"/>
        <v>-55923</v>
      </c>
      <c r="O31" s="113">
        <f t="shared" si="11"/>
        <v>-35536</v>
      </c>
      <c r="P31" s="113">
        <f t="shared" si="11"/>
        <v>-57897</v>
      </c>
      <c r="Q31" s="113">
        <f t="shared" si="11"/>
        <v>-50904</v>
      </c>
      <c r="R31" s="113">
        <f t="shared" si="11"/>
        <v>-51125</v>
      </c>
      <c r="S31" s="113">
        <f t="shared" si="11"/>
        <v>-58476</v>
      </c>
      <c r="T31" s="113">
        <f t="shared" si="11"/>
        <v>-24837</v>
      </c>
      <c r="U31" s="113">
        <f t="shared" si="11"/>
        <v>-66767</v>
      </c>
      <c r="V31" s="113">
        <f t="shared" si="11"/>
        <v>-50448</v>
      </c>
      <c r="W31" s="113">
        <f t="shared" si="11"/>
        <v>-142456</v>
      </c>
      <c r="X31" s="113">
        <f t="shared" si="11"/>
        <v>-68851</v>
      </c>
      <c r="Y31" s="113">
        <f t="shared" si="11"/>
        <v>-81314</v>
      </c>
      <c r="Z31" s="113">
        <f t="shared" si="11"/>
        <v>-50632</v>
      </c>
      <c r="AA31" s="113">
        <f t="shared" si="11"/>
        <v>-48402</v>
      </c>
      <c r="AB31" s="113">
        <f t="shared" si="11"/>
        <v>-43611</v>
      </c>
      <c r="AC31" s="113">
        <f t="shared" si="11"/>
        <v>-44165</v>
      </c>
      <c r="AD31" s="113">
        <f t="shared" si="11"/>
        <v>-48061</v>
      </c>
      <c r="AE31" s="113">
        <f t="shared" si="11"/>
        <v>-30279</v>
      </c>
      <c r="AF31" s="113">
        <f t="shared" si="11"/>
        <v>-43202</v>
      </c>
      <c r="AG31" s="113">
        <f t="shared" si="11"/>
        <v>-37226</v>
      </c>
      <c r="AH31" s="113">
        <f t="shared" si="11"/>
        <v>-31997</v>
      </c>
      <c r="AI31" s="113">
        <f t="shared" si="11"/>
        <v>-23411</v>
      </c>
      <c r="AJ31" s="113">
        <f t="shared" si="11"/>
        <v>-36328</v>
      </c>
      <c r="AK31" s="113">
        <f t="shared" si="11"/>
        <v>-30918</v>
      </c>
      <c r="AL31" s="113">
        <f t="shared" si="11"/>
        <v>-30562</v>
      </c>
      <c r="AM31" s="113">
        <f t="shared" si="11"/>
        <v>-24315</v>
      </c>
      <c r="AN31" s="113">
        <f t="shared" si="11"/>
        <v>-14821</v>
      </c>
      <c r="AO31" s="113">
        <f t="shared" si="11"/>
        <v>-19158</v>
      </c>
      <c r="AP31" s="163"/>
    </row>
    <row r="32" spans="1:42" x14ac:dyDescent="0.25">
      <c r="A32" s="182"/>
      <c r="B32" s="175"/>
      <c r="C32" s="175"/>
      <c r="D32" s="175"/>
      <c r="E32" s="175"/>
      <c r="F32" s="175"/>
      <c r="G32" s="175"/>
      <c r="H32" s="175"/>
      <c r="I32" s="175"/>
      <c r="J32" s="181"/>
      <c r="K32" s="175"/>
      <c r="L32" s="181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</row>
    <row r="33" spans="1:42" s="117" customFormat="1" ht="15.75" x14ac:dyDescent="0.25">
      <c r="A33" s="189" t="s">
        <v>244</v>
      </c>
      <c r="B33" s="112">
        <f t="shared" ref="B33:H33" si="12">B26+B31</f>
        <v>356379</v>
      </c>
      <c r="C33" s="112">
        <f t="shared" si="12"/>
        <v>327726</v>
      </c>
      <c r="D33" s="112">
        <f t="shared" si="12"/>
        <v>198395</v>
      </c>
      <c r="E33" s="112">
        <f t="shared" si="12"/>
        <v>222775</v>
      </c>
      <c r="F33" s="112">
        <f t="shared" si="12"/>
        <v>334657</v>
      </c>
      <c r="G33" s="112">
        <f t="shared" si="12"/>
        <v>265457</v>
      </c>
      <c r="H33" s="112">
        <f t="shared" si="12"/>
        <v>166474</v>
      </c>
      <c r="I33" s="112">
        <f t="shared" ref="I33:AO33" si="13">I26+I31</f>
        <v>255716</v>
      </c>
      <c r="J33" s="112">
        <f t="shared" si="13"/>
        <v>220869</v>
      </c>
      <c r="K33" s="112">
        <f t="shared" si="13"/>
        <v>164079</v>
      </c>
      <c r="L33" s="112">
        <f t="shared" si="13"/>
        <v>138863</v>
      </c>
      <c r="M33" s="112">
        <f t="shared" si="13"/>
        <v>208061</v>
      </c>
      <c r="N33" s="112">
        <f t="shared" si="13"/>
        <v>202011</v>
      </c>
      <c r="O33" s="112">
        <f t="shared" si="13"/>
        <v>205469</v>
      </c>
      <c r="P33" s="112">
        <f t="shared" si="13"/>
        <v>145775</v>
      </c>
      <c r="Q33" s="112">
        <f t="shared" si="13"/>
        <v>205445</v>
      </c>
      <c r="R33" s="112">
        <f t="shared" si="13"/>
        <v>189457</v>
      </c>
      <c r="S33" s="112">
        <f t="shared" si="13"/>
        <v>147912</v>
      </c>
      <c r="T33" s="112">
        <f t="shared" si="13"/>
        <v>154365</v>
      </c>
      <c r="U33" s="112">
        <f t="shared" si="13"/>
        <v>108298</v>
      </c>
      <c r="V33" s="112">
        <f t="shared" si="13"/>
        <v>-48211</v>
      </c>
      <c r="W33" s="112">
        <f t="shared" si="13"/>
        <v>7999</v>
      </c>
      <c r="X33" s="112">
        <f t="shared" si="13"/>
        <v>-5974</v>
      </c>
      <c r="Y33" s="112">
        <f t="shared" si="13"/>
        <v>17244</v>
      </c>
      <c r="Z33" s="112">
        <f t="shared" si="13"/>
        <v>37824</v>
      </c>
      <c r="AA33" s="112">
        <f t="shared" si="13"/>
        <v>134214</v>
      </c>
      <c r="AB33" s="112">
        <f t="shared" si="13"/>
        <v>109313</v>
      </c>
      <c r="AC33" s="112">
        <f t="shared" si="13"/>
        <v>151293</v>
      </c>
      <c r="AD33" s="112">
        <f t="shared" si="13"/>
        <v>136435</v>
      </c>
      <c r="AE33" s="112">
        <f t="shared" si="13"/>
        <v>163907</v>
      </c>
      <c r="AF33" s="112">
        <f t="shared" si="13"/>
        <v>109057</v>
      </c>
      <c r="AG33" s="112">
        <f t="shared" si="13"/>
        <v>156761</v>
      </c>
      <c r="AH33" s="112">
        <f t="shared" si="13"/>
        <v>166161</v>
      </c>
      <c r="AI33" s="112">
        <f t="shared" si="13"/>
        <v>166856.70000000004</v>
      </c>
      <c r="AJ33" s="112">
        <f t="shared" si="13"/>
        <v>145564</v>
      </c>
      <c r="AK33" s="112">
        <f t="shared" si="13"/>
        <v>168452</v>
      </c>
      <c r="AL33" s="112">
        <f t="shared" si="13"/>
        <v>122814</v>
      </c>
      <c r="AM33" s="112">
        <f t="shared" si="13"/>
        <v>170566</v>
      </c>
      <c r="AN33" s="112">
        <f t="shared" si="13"/>
        <v>160553</v>
      </c>
      <c r="AO33" s="112">
        <f t="shared" si="13"/>
        <v>194939</v>
      </c>
      <c r="AP33" s="163"/>
    </row>
    <row r="34" spans="1:42" s="30" customFormat="1" x14ac:dyDescent="0.25">
      <c r="A34" s="124"/>
      <c r="B34" s="177"/>
      <c r="C34" s="177"/>
      <c r="D34" s="177"/>
      <c r="E34" s="177"/>
      <c r="F34" s="177"/>
      <c r="G34" s="177"/>
      <c r="H34" s="177"/>
      <c r="I34" s="177"/>
      <c r="J34" s="178"/>
      <c r="K34" s="177"/>
      <c r="L34" s="17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33"/>
    </row>
    <row r="35" spans="1:42" x14ac:dyDescent="0.25">
      <c r="A35" s="182" t="s">
        <v>245</v>
      </c>
      <c r="B35" s="32">
        <v>-61871</v>
      </c>
      <c r="C35" s="32">
        <v>-63591</v>
      </c>
      <c r="D35" s="32">
        <v>-37816</v>
      </c>
      <c r="E35" s="32">
        <v>-45066</v>
      </c>
      <c r="F35" s="32">
        <v>-56480</v>
      </c>
      <c r="G35" s="32">
        <v>-52476</v>
      </c>
      <c r="H35" s="32">
        <v>-34492</v>
      </c>
      <c r="I35" s="32">
        <v>-50300</v>
      </c>
      <c r="J35" s="120">
        <v>-30940</v>
      </c>
      <c r="K35" s="32">
        <v>-27528</v>
      </c>
      <c r="L35" s="120">
        <v>-20745</v>
      </c>
      <c r="M35" s="120">
        <v>-31812</v>
      </c>
      <c r="N35" s="120">
        <v>-36585</v>
      </c>
      <c r="O35" s="120">
        <v>-40437</v>
      </c>
      <c r="P35" s="120">
        <v>-25092</v>
      </c>
      <c r="Q35" s="120">
        <v>-41072</v>
      </c>
      <c r="R35" s="120">
        <v>-41606</v>
      </c>
      <c r="S35" s="120">
        <v>-27794</v>
      </c>
      <c r="T35" s="120">
        <v>-37587</v>
      </c>
      <c r="U35" s="120">
        <v>-13462</v>
      </c>
      <c r="V35" s="120">
        <v>5409</v>
      </c>
      <c r="W35" s="119">
        <v>780</v>
      </c>
      <c r="X35" s="120">
        <v>7142</v>
      </c>
      <c r="Y35" s="119">
        <v>-474</v>
      </c>
      <c r="Z35" s="120">
        <v>-11299</v>
      </c>
      <c r="AA35" s="120">
        <v>-26246</v>
      </c>
      <c r="AB35" s="120">
        <v>-19618</v>
      </c>
      <c r="AC35" s="120">
        <v>-25308</v>
      </c>
      <c r="AD35" s="120">
        <v>-24953</v>
      </c>
      <c r="AE35" s="120">
        <v>-27941</v>
      </c>
      <c r="AF35" s="120">
        <v>-23911</v>
      </c>
      <c r="AG35" s="120">
        <v>-29468</v>
      </c>
      <c r="AH35" s="120">
        <v>-28419</v>
      </c>
      <c r="AI35" s="120">
        <v>-28183</v>
      </c>
      <c r="AJ35" s="120">
        <v>-26988</v>
      </c>
      <c r="AK35" s="120">
        <v>-32190</v>
      </c>
      <c r="AL35" s="120">
        <v>-11723</v>
      </c>
      <c r="AM35" s="120">
        <v>-36688</v>
      </c>
      <c r="AN35" s="120">
        <v>-33601</v>
      </c>
      <c r="AO35" s="120">
        <v>-47292</v>
      </c>
    </row>
    <row r="36" spans="1:42" s="30" customFormat="1" x14ac:dyDescent="0.25">
      <c r="A36" s="124" t="s">
        <v>246</v>
      </c>
      <c r="B36" s="29">
        <v>-25754</v>
      </c>
      <c r="C36" s="29">
        <v>-23592</v>
      </c>
      <c r="D36" s="29">
        <v>-14234</v>
      </c>
      <c r="E36" s="29">
        <v>-16874</v>
      </c>
      <c r="F36" s="29">
        <v>-22890</v>
      </c>
      <c r="G36" s="29">
        <v>-19688</v>
      </c>
      <c r="H36" s="29">
        <v>-12923</v>
      </c>
      <c r="I36" s="29">
        <v>-18681</v>
      </c>
      <c r="J36" s="122">
        <v>-11926</v>
      </c>
      <c r="K36" s="29">
        <v>-10239</v>
      </c>
      <c r="L36" s="122">
        <v>-7966</v>
      </c>
      <c r="M36" s="122">
        <v>-12016</v>
      </c>
      <c r="N36" s="122">
        <v>-14636</v>
      </c>
      <c r="O36" s="122">
        <v>-15284</v>
      </c>
      <c r="P36" s="122">
        <v>-9796</v>
      </c>
      <c r="Q36" s="122">
        <v>-15360</v>
      </c>
      <c r="R36" s="122">
        <v>-16099</v>
      </c>
      <c r="S36" s="122">
        <v>-10457</v>
      </c>
      <c r="T36" s="122">
        <v>-13835</v>
      </c>
      <c r="U36" s="122">
        <v>-5031</v>
      </c>
      <c r="V36" s="122">
        <v>2035</v>
      </c>
      <c r="W36" s="118">
        <v>159</v>
      </c>
      <c r="X36" s="122">
        <v>2620</v>
      </c>
      <c r="Y36" s="118">
        <v>-320</v>
      </c>
      <c r="Z36" s="122">
        <v>-4979</v>
      </c>
      <c r="AA36" s="122">
        <v>-9907</v>
      </c>
      <c r="AB36" s="122">
        <v>-7770</v>
      </c>
      <c r="AC36" s="122">
        <v>-9372</v>
      </c>
      <c r="AD36" s="122">
        <v>-10115</v>
      </c>
      <c r="AE36" s="122">
        <v>-10127</v>
      </c>
      <c r="AF36" s="122">
        <v>-8925</v>
      </c>
      <c r="AG36" s="122">
        <v>-10922</v>
      </c>
      <c r="AH36" s="122">
        <v>-11569</v>
      </c>
      <c r="AI36" s="122">
        <v>-10691</v>
      </c>
      <c r="AJ36" s="122">
        <v>-10186</v>
      </c>
      <c r="AK36" s="122">
        <v>-11880</v>
      </c>
      <c r="AL36" s="122">
        <v>-5508</v>
      </c>
      <c r="AM36" s="122">
        <v>-13774</v>
      </c>
      <c r="AN36" s="122">
        <v>-12448</v>
      </c>
      <c r="AO36" s="122">
        <v>-17400</v>
      </c>
      <c r="AP36" s="33"/>
    </row>
    <row r="37" spans="1:42" x14ac:dyDescent="0.25">
      <c r="A37" s="182"/>
      <c r="B37" s="32"/>
      <c r="C37" s="32"/>
      <c r="D37" s="32"/>
      <c r="E37" s="32"/>
      <c r="F37" s="32"/>
      <c r="G37" s="32"/>
      <c r="H37" s="32"/>
      <c r="I37" s="32"/>
      <c r="J37" s="120"/>
      <c r="K37" s="52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</row>
    <row r="38" spans="1:42" s="117" customFormat="1" ht="15.75" x14ac:dyDescent="0.25">
      <c r="A38" s="189" t="s">
        <v>247</v>
      </c>
      <c r="B38" s="113">
        <f t="shared" ref="B38:H38" si="14">B33+B35+B36</f>
        <v>268754</v>
      </c>
      <c r="C38" s="113">
        <f t="shared" si="14"/>
        <v>240543</v>
      </c>
      <c r="D38" s="113">
        <f t="shared" si="14"/>
        <v>146345</v>
      </c>
      <c r="E38" s="113">
        <f t="shared" si="14"/>
        <v>160835</v>
      </c>
      <c r="F38" s="113">
        <f t="shared" si="14"/>
        <v>255287</v>
      </c>
      <c r="G38" s="113">
        <f t="shared" si="14"/>
        <v>193293</v>
      </c>
      <c r="H38" s="113">
        <f t="shared" si="14"/>
        <v>119059</v>
      </c>
      <c r="I38" s="113">
        <f t="shared" ref="I38:AO38" si="15">I33+I35+I36</f>
        <v>186735</v>
      </c>
      <c r="J38" s="113">
        <f t="shared" si="15"/>
        <v>178003</v>
      </c>
      <c r="K38" s="113">
        <f t="shared" si="15"/>
        <v>126312</v>
      </c>
      <c r="L38" s="113">
        <f t="shared" si="15"/>
        <v>110152</v>
      </c>
      <c r="M38" s="113">
        <f t="shared" si="15"/>
        <v>164233</v>
      </c>
      <c r="N38" s="113">
        <f t="shared" si="15"/>
        <v>150790</v>
      </c>
      <c r="O38" s="113">
        <f t="shared" si="15"/>
        <v>149748</v>
      </c>
      <c r="P38" s="113">
        <f t="shared" si="15"/>
        <v>110887</v>
      </c>
      <c r="Q38" s="113">
        <f t="shared" si="15"/>
        <v>149013</v>
      </c>
      <c r="R38" s="113">
        <f t="shared" si="15"/>
        <v>131752</v>
      </c>
      <c r="S38" s="113">
        <f t="shared" si="15"/>
        <v>109661</v>
      </c>
      <c r="T38" s="113">
        <f t="shared" si="15"/>
        <v>102943</v>
      </c>
      <c r="U38" s="113">
        <f t="shared" si="15"/>
        <v>89805</v>
      </c>
      <c r="V38" s="113">
        <f t="shared" si="15"/>
        <v>-40767</v>
      </c>
      <c r="W38" s="113">
        <f t="shared" si="15"/>
        <v>8938</v>
      </c>
      <c r="X38" s="113">
        <f t="shared" si="15"/>
        <v>3788</v>
      </c>
      <c r="Y38" s="113">
        <f t="shared" si="15"/>
        <v>16450</v>
      </c>
      <c r="Z38" s="113">
        <f t="shared" si="15"/>
        <v>21546</v>
      </c>
      <c r="AA38" s="113">
        <f t="shared" si="15"/>
        <v>98061</v>
      </c>
      <c r="AB38" s="113">
        <f t="shared" si="15"/>
        <v>81925</v>
      </c>
      <c r="AC38" s="113">
        <f t="shared" si="15"/>
        <v>116613</v>
      </c>
      <c r="AD38" s="113">
        <f t="shared" si="15"/>
        <v>101367</v>
      </c>
      <c r="AE38" s="113">
        <f t="shared" si="15"/>
        <v>125839</v>
      </c>
      <c r="AF38" s="113">
        <f t="shared" si="15"/>
        <v>76221</v>
      </c>
      <c r="AG38" s="113">
        <f>AG33+AG35+AG36</f>
        <v>116371</v>
      </c>
      <c r="AH38" s="113">
        <f t="shared" si="15"/>
        <v>126173</v>
      </c>
      <c r="AI38" s="113">
        <f t="shared" si="15"/>
        <v>127982.70000000004</v>
      </c>
      <c r="AJ38" s="113">
        <f t="shared" si="15"/>
        <v>108390</v>
      </c>
      <c r="AK38" s="113">
        <f t="shared" si="15"/>
        <v>124382</v>
      </c>
      <c r="AL38" s="113">
        <f t="shared" si="15"/>
        <v>105583</v>
      </c>
      <c r="AM38" s="113">
        <f t="shared" si="15"/>
        <v>120104</v>
      </c>
      <c r="AN38" s="113">
        <f t="shared" si="15"/>
        <v>114504</v>
      </c>
      <c r="AO38" s="113">
        <f t="shared" si="15"/>
        <v>130247</v>
      </c>
      <c r="AP38" s="163"/>
    </row>
    <row r="39" spans="1:42" customFormat="1" x14ac:dyDescent="0.25">
      <c r="A39" s="7"/>
      <c r="B39" s="223"/>
      <c r="C39" s="223"/>
      <c r="D39" s="223"/>
      <c r="E39" s="22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s="289" customFormat="1" x14ac:dyDescent="0.25">
      <c r="A40" s="7"/>
      <c r="B40" s="223"/>
      <c r="C40" s="223"/>
      <c r="D40" s="223"/>
      <c r="E40" s="223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7"/>
    </row>
    <row r="41" spans="1:42" customFormat="1" x14ac:dyDescent="0.25">
      <c r="A41" s="7"/>
      <c r="B41" s="223"/>
      <c r="C41" s="223"/>
      <c r="D41" s="223"/>
      <c r="E41" s="223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7"/>
    </row>
    <row r="42" spans="1:42" customFormat="1" x14ac:dyDescent="0.25">
      <c r="A42" s="7"/>
      <c r="B42" s="223"/>
      <c r="C42" s="223"/>
      <c r="D42" s="223"/>
      <c r="E42" s="22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s="157" customFormat="1" ht="21" customHeight="1" x14ac:dyDescent="0.25">
      <c r="A43" s="298" t="s">
        <v>384</v>
      </c>
      <c r="B43" s="155"/>
      <c r="C43" s="155"/>
      <c r="D43" s="155" t="s">
        <v>433</v>
      </c>
      <c r="E43" s="155" t="s">
        <v>422</v>
      </c>
      <c r="F43" s="155" t="s">
        <v>400</v>
      </c>
      <c r="G43" s="155" t="s">
        <v>389</v>
      </c>
      <c r="H43" s="155" t="s">
        <v>225</v>
      </c>
      <c r="I43" s="156" t="s">
        <v>0</v>
      </c>
      <c r="J43" s="156" t="s">
        <v>1</v>
      </c>
      <c r="K43" s="156" t="s">
        <v>2</v>
      </c>
      <c r="L43" s="156" t="s">
        <v>3</v>
      </c>
      <c r="M43" s="156" t="s">
        <v>4</v>
      </c>
      <c r="N43" s="156" t="s">
        <v>5</v>
      </c>
      <c r="O43" s="156" t="s">
        <v>6</v>
      </c>
      <c r="P43" s="156" t="s">
        <v>7</v>
      </c>
      <c r="Q43" s="156" t="s">
        <v>8</v>
      </c>
      <c r="R43" s="156" t="s">
        <v>9</v>
      </c>
      <c r="S43" s="156" t="s">
        <v>10</v>
      </c>
      <c r="T43" s="156" t="s">
        <v>11</v>
      </c>
      <c r="U43" s="156" t="s">
        <v>12</v>
      </c>
      <c r="V43" s="156" t="s">
        <v>13</v>
      </c>
      <c r="W43" s="156" t="s">
        <v>14</v>
      </c>
      <c r="X43" s="156" t="s">
        <v>15</v>
      </c>
      <c r="Y43" s="156" t="s">
        <v>16</v>
      </c>
      <c r="Z43" s="156" t="s">
        <v>17</v>
      </c>
      <c r="AA43" s="156" t="s">
        <v>18</v>
      </c>
      <c r="AB43" s="156" t="s">
        <v>19</v>
      </c>
      <c r="AC43" s="156" t="s">
        <v>20</v>
      </c>
      <c r="AD43" s="156" t="s">
        <v>34</v>
      </c>
      <c r="AE43" s="156" t="s">
        <v>21</v>
      </c>
      <c r="AF43" s="156" t="s">
        <v>22</v>
      </c>
      <c r="AG43" s="156" t="s">
        <v>23</v>
      </c>
      <c r="AH43" s="156" t="s">
        <v>24</v>
      </c>
      <c r="AI43" s="156" t="s">
        <v>25</v>
      </c>
      <c r="AJ43" s="156" t="s">
        <v>26</v>
      </c>
      <c r="AK43" s="156" t="s">
        <v>27</v>
      </c>
      <c r="AL43" s="156" t="s">
        <v>28</v>
      </c>
      <c r="AM43" s="156" t="s">
        <v>29</v>
      </c>
      <c r="AN43" s="156" t="s">
        <v>30</v>
      </c>
      <c r="AO43" s="156" t="s">
        <v>31</v>
      </c>
      <c r="AP43" s="326"/>
    </row>
    <row r="44" spans="1:42" x14ac:dyDescent="0.25">
      <c r="A44" s="182" t="s">
        <v>248</v>
      </c>
      <c r="B44" s="32">
        <v>855883</v>
      </c>
      <c r="C44" s="32">
        <v>816269</v>
      </c>
      <c r="D44" s="32">
        <v>752367</v>
      </c>
      <c r="E44" s="32">
        <v>769225</v>
      </c>
      <c r="F44" s="32">
        <v>823112</v>
      </c>
      <c r="G44" s="32">
        <v>767331</v>
      </c>
      <c r="H44" s="32">
        <v>693209</v>
      </c>
      <c r="I44" s="32">
        <v>711384</v>
      </c>
      <c r="J44" s="120">
        <v>695064</v>
      </c>
      <c r="K44" s="32">
        <v>668381</v>
      </c>
      <c r="L44" s="120">
        <v>656973.01647000003</v>
      </c>
      <c r="M44" s="120">
        <v>666428</v>
      </c>
      <c r="N44" s="120">
        <v>680268</v>
      </c>
      <c r="O44" s="120">
        <v>667504</v>
      </c>
      <c r="P44" s="120">
        <v>601320</v>
      </c>
      <c r="Q44" s="120">
        <v>637248</v>
      </c>
      <c r="R44" s="120">
        <v>616112</v>
      </c>
      <c r="S44" s="120">
        <v>632376</v>
      </c>
      <c r="T44" s="120">
        <v>578560</v>
      </c>
      <c r="U44" s="120">
        <v>541096</v>
      </c>
      <c r="V44" s="120">
        <v>565274</v>
      </c>
      <c r="W44" s="120">
        <v>524334</v>
      </c>
      <c r="X44" s="120">
        <v>487203</v>
      </c>
      <c r="Y44" s="120">
        <v>485686</v>
      </c>
      <c r="Z44" s="120">
        <v>511700</v>
      </c>
      <c r="AA44" s="120">
        <v>516931</v>
      </c>
      <c r="AB44" s="120">
        <v>502681</v>
      </c>
      <c r="AC44" s="120">
        <v>521882</v>
      </c>
      <c r="AD44" s="120">
        <v>515416</v>
      </c>
      <c r="AE44" s="120">
        <v>507451</v>
      </c>
      <c r="AF44" s="120">
        <v>475463</v>
      </c>
      <c r="AG44" s="120">
        <v>482342</v>
      </c>
      <c r="AH44" s="120">
        <v>489660</v>
      </c>
      <c r="AI44" s="120">
        <v>468981</v>
      </c>
      <c r="AJ44" s="120">
        <v>441055</v>
      </c>
      <c r="AK44" s="120">
        <v>458671</v>
      </c>
      <c r="AL44" s="120">
        <v>445077</v>
      </c>
      <c r="AM44" s="120">
        <v>463992</v>
      </c>
      <c r="AN44" s="120">
        <v>434337</v>
      </c>
      <c r="AO44" s="120">
        <v>440577</v>
      </c>
    </row>
    <row r="45" spans="1:42" s="30" customFormat="1" x14ac:dyDescent="0.25">
      <c r="A45" s="124" t="s">
        <v>249</v>
      </c>
      <c r="B45" s="29">
        <v>488260</v>
      </c>
      <c r="C45" s="29">
        <v>458044</v>
      </c>
      <c r="D45" s="29">
        <v>432945</v>
      </c>
      <c r="E45" s="29">
        <v>439994</v>
      </c>
      <c r="F45" s="29">
        <v>468447</v>
      </c>
      <c r="G45" s="29">
        <v>433944</v>
      </c>
      <c r="H45" s="29">
        <v>392568</v>
      </c>
      <c r="I45" s="29">
        <v>393226</v>
      </c>
      <c r="J45" s="122">
        <v>395325</v>
      </c>
      <c r="K45" s="29">
        <v>365302</v>
      </c>
      <c r="L45" s="122">
        <v>361771.52652000001</v>
      </c>
      <c r="M45" s="122">
        <v>360444</v>
      </c>
      <c r="N45" s="122">
        <v>374942</v>
      </c>
      <c r="O45" s="122">
        <v>362604</v>
      </c>
      <c r="P45" s="122">
        <v>332311</v>
      </c>
      <c r="Q45" s="122">
        <v>341410</v>
      </c>
      <c r="R45" s="122">
        <v>332392</v>
      </c>
      <c r="S45" s="122">
        <v>339850</v>
      </c>
      <c r="T45" s="122">
        <v>313517</v>
      </c>
      <c r="U45" s="122">
        <v>289715</v>
      </c>
      <c r="V45" s="122">
        <v>298689</v>
      </c>
      <c r="W45" s="122">
        <v>275649</v>
      </c>
      <c r="X45" s="122">
        <v>257905</v>
      </c>
      <c r="Y45" s="122">
        <v>249441</v>
      </c>
      <c r="Z45" s="122">
        <v>271996</v>
      </c>
      <c r="AA45" s="122">
        <v>273678</v>
      </c>
      <c r="AB45" s="122">
        <v>265909</v>
      </c>
      <c r="AC45" s="122">
        <v>267377</v>
      </c>
      <c r="AD45" s="122">
        <v>264966</v>
      </c>
      <c r="AE45" s="122">
        <v>263112</v>
      </c>
      <c r="AF45" s="122">
        <v>250393</v>
      </c>
      <c r="AG45" s="122">
        <v>248594</v>
      </c>
      <c r="AH45" s="122">
        <v>253861</v>
      </c>
      <c r="AI45" s="122">
        <v>241736</v>
      </c>
      <c r="AJ45" s="122">
        <v>213727</v>
      </c>
      <c r="AK45" s="122">
        <v>200675</v>
      </c>
      <c r="AL45" s="122">
        <v>192848</v>
      </c>
      <c r="AM45" s="122">
        <v>197760</v>
      </c>
      <c r="AN45" s="122">
        <v>177346</v>
      </c>
      <c r="AO45" s="122">
        <v>157673</v>
      </c>
      <c r="AP45" s="33"/>
    </row>
    <row r="46" spans="1:42" x14ac:dyDescent="0.25">
      <c r="A46" s="182" t="s">
        <v>230</v>
      </c>
      <c r="B46" s="32">
        <v>542</v>
      </c>
      <c r="C46" s="32">
        <v>519</v>
      </c>
      <c r="D46" s="32">
        <v>510</v>
      </c>
      <c r="E46" s="32">
        <v>519</v>
      </c>
      <c r="F46" s="32">
        <v>466</v>
      </c>
      <c r="G46" s="32">
        <v>514</v>
      </c>
      <c r="H46" s="32">
        <v>541</v>
      </c>
      <c r="I46" s="32">
        <v>541</v>
      </c>
      <c r="J46" s="120">
        <v>521</v>
      </c>
      <c r="K46" s="32">
        <v>605</v>
      </c>
      <c r="L46" s="120">
        <v>621</v>
      </c>
      <c r="M46" s="119">
        <v>676</v>
      </c>
      <c r="N46" s="119">
        <v>399</v>
      </c>
      <c r="O46" s="119" t="s">
        <v>32</v>
      </c>
      <c r="P46" s="119" t="s">
        <v>32</v>
      </c>
      <c r="Q46" s="119" t="s">
        <v>32</v>
      </c>
      <c r="R46" s="119" t="s">
        <v>32</v>
      </c>
      <c r="S46" s="119" t="s">
        <v>32</v>
      </c>
      <c r="T46" s="119" t="s">
        <v>32</v>
      </c>
      <c r="U46" s="119" t="s">
        <v>32</v>
      </c>
      <c r="V46" s="119" t="s">
        <v>32</v>
      </c>
      <c r="W46" s="119" t="s">
        <v>32</v>
      </c>
      <c r="X46" s="119" t="s">
        <v>32</v>
      </c>
      <c r="Y46" s="119" t="s">
        <v>32</v>
      </c>
      <c r="Z46" s="119" t="s">
        <v>32</v>
      </c>
      <c r="AA46" s="119" t="s">
        <v>32</v>
      </c>
      <c r="AB46" s="119" t="s">
        <v>32</v>
      </c>
      <c r="AC46" s="119" t="s">
        <v>32</v>
      </c>
      <c r="AD46" s="119" t="s">
        <v>32</v>
      </c>
      <c r="AE46" s="119" t="s">
        <v>32</v>
      </c>
      <c r="AF46" s="119" t="s">
        <v>32</v>
      </c>
      <c r="AG46" s="119" t="s">
        <v>32</v>
      </c>
      <c r="AH46" s="119" t="s">
        <v>32</v>
      </c>
      <c r="AI46" s="119" t="s">
        <v>32</v>
      </c>
      <c r="AJ46" s="119" t="s">
        <v>32</v>
      </c>
      <c r="AK46" s="119" t="s">
        <v>32</v>
      </c>
      <c r="AL46" s="119" t="s">
        <v>32</v>
      </c>
      <c r="AM46" s="119" t="s">
        <v>32</v>
      </c>
      <c r="AN46" s="119" t="s">
        <v>32</v>
      </c>
      <c r="AO46" s="119" t="s">
        <v>32</v>
      </c>
    </row>
    <row r="47" spans="1:42" s="30" customFormat="1" x14ac:dyDescent="0.25">
      <c r="A47" s="124"/>
      <c r="B47" s="177"/>
      <c r="C47" s="177"/>
      <c r="D47" s="177"/>
      <c r="E47" s="177"/>
      <c r="F47" s="177"/>
      <c r="G47" s="177"/>
      <c r="H47" s="177"/>
      <c r="I47" s="177"/>
      <c r="J47" s="178"/>
      <c r="K47" s="177"/>
      <c r="L47" s="17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33"/>
    </row>
    <row r="48" spans="1:42" s="117" customFormat="1" ht="15.75" x14ac:dyDescent="0.25">
      <c r="A48" s="189" t="s">
        <v>250</v>
      </c>
      <c r="B48" s="112">
        <f t="shared" ref="B48:G48" si="16">SUM(B44:B47)</f>
        <v>1344685</v>
      </c>
      <c r="C48" s="112">
        <f t="shared" si="16"/>
        <v>1274832</v>
      </c>
      <c r="D48" s="112">
        <f t="shared" si="16"/>
        <v>1185822</v>
      </c>
      <c r="E48" s="112">
        <f t="shared" si="16"/>
        <v>1209738</v>
      </c>
      <c r="F48" s="112">
        <f t="shared" si="16"/>
        <v>1292025</v>
      </c>
      <c r="G48" s="112">
        <f t="shared" si="16"/>
        <v>1201789</v>
      </c>
      <c r="H48" s="112">
        <f t="shared" ref="H48:AO48" si="17">SUM(H44:H47)</f>
        <v>1086318</v>
      </c>
      <c r="I48" s="112">
        <f t="shared" si="17"/>
        <v>1105151</v>
      </c>
      <c r="J48" s="112">
        <f t="shared" si="17"/>
        <v>1090910</v>
      </c>
      <c r="K48" s="112">
        <f t="shared" si="17"/>
        <v>1034288</v>
      </c>
      <c r="L48" s="112">
        <f t="shared" si="17"/>
        <v>1019365.54299</v>
      </c>
      <c r="M48" s="112">
        <f t="shared" si="17"/>
        <v>1027548</v>
      </c>
      <c r="N48" s="112">
        <f t="shared" si="17"/>
        <v>1055609</v>
      </c>
      <c r="O48" s="112">
        <f t="shared" si="17"/>
        <v>1030108</v>
      </c>
      <c r="P48" s="112">
        <f t="shared" si="17"/>
        <v>933631</v>
      </c>
      <c r="Q48" s="112">
        <f t="shared" si="17"/>
        <v>978658</v>
      </c>
      <c r="R48" s="112">
        <f t="shared" si="17"/>
        <v>948504</v>
      </c>
      <c r="S48" s="112">
        <f t="shared" si="17"/>
        <v>972226</v>
      </c>
      <c r="T48" s="112">
        <f t="shared" si="17"/>
        <v>892077</v>
      </c>
      <c r="U48" s="112">
        <f t="shared" si="17"/>
        <v>830811</v>
      </c>
      <c r="V48" s="112">
        <f t="shared" si="17"/>
        <v>863963</v>
      </c>
      <c r="W48" s="112">
        <f t="shared" si="17"/>
        <v>799983</v>
      </c>
      <c r="X48" s="112">
        <f t="shared" si="17"/>
        <v>745108</v>
      </c>
      <c r="Y48" s="112">
        <f t="shared" si="17"/>
        <v>735127</v>
      </c>
      <c r="Z48" s="112">
        <f t="shared" si="17"/>
        <v>783696</v>
      </c>
      <c r="AA48" s="112">
        <f t="shared" si="17"/>
        <v>790609</v>
      </c>
      <c r="AB48" s="112">
        <f t="shared" si="17"/>
        <v>768590</v>
      </c>
      <c r="AC48" s="112">
        <f t="shared" si="17"/>
        <v>789259</v>
      </c>
      <c r="AD48" s="112">
        <f t="shared" si="17"/>
        <v>780382</v>
      </c>
      <c r="AE48" s="112">
        <f t="shared" si="17"/>
        <v>770563</v>
      </c>
      <c r="AF48" s="112">
        <f t="shared" si="17"/>
        <v>725856</v>
      </c>
      <c r="AG48" s="112">
        <f t="shared" si="17"/>
        <v>730936</v>
      </c>
      <c r="AH48" s="112">
        <f t="shared" si="17"/>
        <v>743521</v>
      </c>
      <c r="AI48" s="112">
        <f t="shared" si="17"/>
        <v>710717</v>
      </c>
      <c r="AJ48" s="112">
        <f t="shared" si="17"/>
        <v>654782</v>
      </c>
      <c r="AK48" s="112">
        <f t="shared" si="17"/>
        <v>659346</v>
      </c>
      <c r="AL48" s="112">
        <f t="shared" si="17"/>
        <v>637925</v>
      </c>
      <c r="AM48" s="112">
        <f t="shared" si="17"/>
        <v>661752</v>
      </c>
      <c r="AN48" s="112">
        <f t="shared" si="17"/>
        <v>611683</v>
      </c>
      <c r="AO48" s="112">
        <f t="shared" si="17"/>
        <v>598250</v>
      </c>
      <c r="AP48" s="163"/>
    </row>
    <row r="49" spans="1:42" s="30" customFormat="1" x14ac:dyDescent="0.25">
      <c r="A49" s="171"/>
      <c r="B49" s="106"/>
      <c r="C49" s="106"/>
      <c r="D49" s="106"/>
      <c r="E49" s="106"/>
      <c r="F49" s="106"/>
      <c r="G49" s="106"/>
      <c r="H49" s="106"/>
      <c r="I49" s="106"/>
      <c r="J49" s="107"/>
      <c r="K49" s="106"/>
      <c r="L49" s="107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3"/>
    </row>
    <row r="50" spans="1:42" x14ac:dyDescent="0.25">
      <c r="A50" s="180" t="s">
        <v>251</v>
      </c>
      <c r="B50" s="32">
        <v>85154</v>
      </c>
      <c r="C50" s="32">
        <v>71331</v>
      </c>
      <c r="D50" s="32">
        <v>59816</v>
      </c>
      <c r="E50" s="32">
        <v>57565</v>
      </c>
      <c r="F50" s="32">
        <f>F8</f>
        <v>93914</v>
      </c>
      <c r="G50" s="32">
        <f>G8</f>
        <v>115847</v>
      </c>
      <c r="H50" s="32">
        <v>106607</v>
      </c>
      <c r="I50" s="32">
        <v>91711</v>
      </c>
      <c r="J50" s="120">
        <v>136071</v>
      </c>
      <c r="K50" s="32">
        <v>133467</v>
      </c>
      <c r="L50" s="120">
        <v>130600</v>
      </c>
      <c r="M50" s="120">
        <v>96753</v>
      </c>
      <c r="N50" s="120">
        <v>112147</v>
      </c>
      <c r="O50" s="120">
        <v>73024</v>
      </c>
      <c r="P50" s="120">
        <v>55417</v>
      </c>
      <c r="Q50" s="120">
        <v>62075</v>
      </c>
      <c r="R50" s="120">
        <v>48858</v>
      </c>
      <c r="S50" s="120">
        <v>65941</v>
      </c>
      <c r="T50" s="120">
        <v>73135</v>
      </c>
      <c r="U50" s="120">
        <v>176733</v>
      </c>
      <c r="V50" s="120">
        <v>134372</v>
      </c>
      <c r="W50" s="120">
        <v>193582</v>
      </c>
      <c r="X50" s="120">
        <v>174217</v>
      </c>
      <c r="Y50" s="120">
        <v>164361</v>
      </c>
      <c r="Z50" s="120">
        <v>241644</v>
      </c>
      <c r="AA50" s="120">
        <v>377197</v>
      </c>
      <c r="AB50" s="120">
        <v>200305</v>
      </c>
      <c r="AC50" s="120">
        <v>159156</v>
      </c>
      <c r="AD50" s="120">
        <v>193638</v>
      </c>
      <c r="AE50" s="120">
        <v>199464</v>
      </c>
      <c r="AF50" s="120">
        <v>187467</v>
      </c>
      <c r="AG50" s="120">
        <v>126513</v>
      </c>
      <c r="AH50" s="120">
        <v>244595</v>
      </c>
      <c r="AI50" s="120">
        <v>158757</v>
      </c>
      <c r="AJ50" s="120">
        <v>174089</v>
      </c>
      <c r="AK50" s="120">
        <v>154135</v>
      </c>
      <c r="AL50" s="120">
        <v>193830</v>
      </c>
      <c r="AM50" s="120">
        <v>162501</v>
      </c>
      <c r="AN50" s="120">
        <v>167036</v>
      </c>
      <c r="AO50" s="120">
        <v>177889</v>
      </c>
    </row>
    <row r="51" spans="1:42" s="30" customFormat="1" x14ac:dyDescent="0.25">
      <c r="A51" s="176" t="s">
        <v>252</v>
      </c>
      <c r="B51" s="29">
        <v>-85154</v>
      </c>
      <c r="C51" s="29">
        <v>-71331</v>
      </c>
      <c r="D51" s="29">
        <v>-59816</v>
      </c>
      <c r="E51" s="29">
        <v>-57565</v>
      </c>
      <c r="F51" s="29">
        <f>F13</f>
        <v>-93914</v>
      </c>
      <c r="G51" s="29">
        <f>G13</f>
        <v>-115847</v>
      </c>
      <c r="H51" s="29">
        <v>-106607</v>
      </c>
      <c r="I51" s="29">
        <v>-91711</v>
      </c>
      <c r="J51" s="122">
        <v>-136071</v>
      </c>
      <c r="K51" s="29">
        <v>-133467</v>
      </c>
      <c r="L51" s="122">
        <v>-130600</v>
      </c>
      <c r="M51" s="122">
        <v>-96753</v>
      </c>
      <c r="N51" s="122">
        <v>-112147</v>
      </c>
      <c r="O51" s="122">
        <v>-73024</v>
      </c>
      <c r="P51" s="122">
        <v>-55417</v>
      </c>
      <c r="Q51" s="122">
        <v>-62075</v>
      </c>
      <c r="R51" s="122">
        <v>-48858</v>
      </c>
      <c r="S51" s="122">
        <v>-65941</v>
      </c>
      <c r="T51" s="122">
        <v>-73136</v>
      </c>
      <c r="U51" s="122">
        <v>-176733</v>
      </c>
      <c r="V51" s="122">
        <v>-134372</v>
      </c>
      <c r="W51" s="122">
        <v>-193582</v>
      </c>
      <c r="X51" s="122">
        <v>-171985</v>
      </c>
      <c r="Y51" s="122">
        <v>-161865</v>
      </c>
      <c r="Z51" s="122">
        <v>-237981</v>
      </c>
      <c r="AA51" s="122">
        <v>-373220</v>
      </c>
      <c r="AB51" s="122">
        <v>-196121</v>
      </c>
      <c r="AC51" s="122">
        <v>-154384</v>
      </c>
      <c r="AD51" s="122">
        <v>-189627</v>
      </c>
      <c r="AE51" s="122">
        <v>-195047</v>
      </c>
      <c r="AF51" s="122">
        <v>-183281</v>
      </c>
      <c r="AG51" s="122">
        <v>-122618</v>
      </c>
      <c r="AH51" s="122">
        <v>-237283</v>
      </c>
      <c r="AI51" s="122">
        <v>-155219</v>
      </c>
      <c r="AJ51" s="122">
        <v>-171187</v>
      </c>
      <c r="AK51" s="122">
        <v>-152807</v>
      </c>
      <c r="AL51" s="122">
        <v>-189972</v>
      </c>
      <c r="AM51" s="122">
        <v>-159182</v>
      </c>
      <c r="AN51" s="122">
        <v>-163227</v>
      </c>
      <c r="AO51" s="122">
        <v>-174920</v>
      </c>
      <c r="AP51" s="33"/>
    </row>
    <row r="52" spans="1:42" x14ac:dyDescent="0.25">
      <c r="A52" s="182"/>
      <c r="B52" s="175"/>
      <c r="C52" s="175"/>
      <c r="D52" s="175"/>
      <c r="E52" s="175"/>
      <c r="F52" s="175"/>
      <c r="G52" s="175"/>
      <c r="H52" s="175"/>
      <c r="I52" s="175"/>
      <c r="J52" s="181"/>
      <c r="K52" s="175"/>
      <c r="L52" s="181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</row>
    <row r="53" spans="1:42" s="117" customFormat="1" ht="15.75" x14ac:dyDescent="0.25">
      <c r="A53" s="189" t="s">
        <v>253</v>
      </c>
      <c r="B53" s="126">
        <f>B50+B51</f>
        <v>0</v>
      </c>
      <c r="C53" s="126">
        <f>C50+C51</f>
        <v>0</v>
      </c>
      <c r="D53" s="126">
        <f>D50+D51</f>
        <v>0</v>
      </c>
      <c r="E53" s="126">
        <f>SUM(E50:E52)</f>
        <v>0</v>
      </c>
      <c r="F53" s="126">
        <f>SUM(F50:F52)</f>
        <v>0</v>
      </c>
      <c r="G53" s="126">
        <f>SUM(G50:G52)</f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0</v>
      </c>
      <c r="T53" s="126">
        <v>0</v>
      </c>
      <c r="U53" s="126">
        <v>0</v>
      </c>
      <c r="V53" s="126">
        <v>0</v>
      </c>
      <c r="W53" s="126">
        <v>0</v>
      </c>
      <c r="X53" s="116">
        <v>2232</v>
      </c>
      <c r="Y53" s="116">
        <v>2496</v>
      </c>
      <c r="Z53" s="116">
        <v>3662</v>
      </c>
      <c r="AA53" s="116">
        <v>3977</v>
      </c>
      <c r="AB53" s="116">
        <v>4185</v>
      </c>
      <c r="AC53" s="116">
        <v>4772</v>
      </c>
      <c r="AD53" s="116">
        <v>4011</v>
      </c>
      <c r="AE53" s="116">
        <v>4417</v>
      </c>
      <c r="AF53" s="116">
        <v>4186</v>
      </c>
      <c r="AG53" s="116">
        <v>3895</v>
      </c>
      <c r="AH53" s="116">
        <v>7312</v>
      </c>
      <c r="AI53" s="116">
        <v>3538</v>
      </c>
      <c r="AJ53" s="116">
        <v>2902</v>
      </c>
      <c r="AK53" s="116">
        <v>1328</v>
      </c>
      <c r="AL53" s="116">
        <v>3858</v>
      </c>
      <c r="AM53" s="116">
        <v>3319</v>
      </c>
      <c r="AN53" s="116">
        <v>3809</v>
      </c>
      <c r="AO53" s="116">
        <v>2969</v>
      </c>
      <c r="AP53" s="163"/>
    </row>
    <row r="54" spans="1:42" s="30" customFormat="1" x14ac:dyDescent="0.25">
      <c r="A54" s="124"/>
      <c r="B54" s="177"/>
      <c r="C54" s="177"/>
      <c r="D54" s="177"/>
      <c r="E54" s="177"/>
      <c r="F54" s="177"/>
      <c r="G54" s="177"/>
      <c r="H54" s="177"/>
      <c r="I54" s="177"/>
      <c r="J54" s="178"/>
      <c r="K54" s="177"/>
      <c r="L54" s="17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33"/>
    </row>
    <row r="55" spans="1:42" s="117" customFormat="1" ht="15.75" x14ac:dyDescent="0.25">
      <c r="A55" s="189" t="s">
        <v>254</v>
      </c>
      <c r="B55" s="112">
        <f>SUM(B56:B67)</f>
        <v>-941507.25</v>
      </c>
      <c r="C55" s="112">
        <f>SUM(C56:C67)</f>
        <v>-907614.75</v>
      </c>
      <c r="D55" s="112">
        <f>SUM(D56:D67)</f>
        <v>-937042</v>
      </c>
      <c r="E55" s="112">
        <f>SUM(E56:E66)</f>
        <v>-857134</v>
      </c>
      <c r="F55" s="112">
        <f>SUM(F56:F66)</f>
        <v>-882129</v>
      </c>
      <c r="G55" s="112">
        <f>SUM(G56:G66)</f>
        <v>-851381</v>
      </c>
      <c r="H55" s="112">
        <f>SUM(H57:H66)</f>
        <v>-824073</v>
      </c>
      <c r="I55" s="112">
        <f t="shared" ref="I55:AO55" si="18">SUM(I57:I66)</f>
        <v>-797596</v>
      </c>
      <c r="J55" s="112">
        <f t="shared" si="18"/>
        <v>-822785.10000000009</v>
      </c>
      <c r="K55" s="112">
        <f t="shared" si="18"/>
        <v>-863687</v>
      </c>
      <c r="L55" s="112">
        <f t="shared" si="18"/>
        <v>-807217.74008999998</v>
      </c>
      <c r="M55" s="112">
        <f t="shared" si="18"/>
        <v>-761455</v>
      </c>
      <c r="N55" s="112">
        <f t="shared" si="18"/>
        <v>-807187</v>
      </c>
      <c r="O55" s="112">
        <f t="shared" si="18"/>
        <v>-757990</v>
      </c>
      <c r="P55" s="112">
        <f t="shared" si="18"/>
        <v>-739746</v>
      </c>
      <c r="Q55" s="112">
        <f t="shared" si="18"/>
        <v>-712456</v>
      </c>
      <c r="R55" s="112">
        <f t="shared" si="18"/>
        <v>-727115</v>
      </c>
      <c r="S55" s="112">
        <f t="shared" si="18"/>
        <v>-707870</v>
      </c>
      <c r="T55" s="112">
        <f t="shared" si="18"/>
        <v>-693975</v>
      </c>
      <c r="U55" s="112">
        <f t="shared" si="18"/>
        <v>-659405</v>
      </c>
      <c r="V55" s="112">
        <f t="shared" si="18"/>
        <v>-853222</v>
      </c>
      <c r="W55" s="112">
        <f t="shared" si="18"/>
        <v>-665932</v>
      </c>
      <c r="X55" s="112">
        <f t="shared" si="18"/>
        <v>-695105</v>
      </c>
      <c r="Y55" s="112">
        <f t="shared" si="18"/>
        <v>-634321</v>
      </c>
      <c r="Z55" s="112">
        <f t="shared" si="18"/>
        <v>-648985</v>
      </c>
      <c r="AA55" s="112">
        <f t="shared" si="18"/>
        <v>-610232</v>
      </c>
      <c r="AB55" s="112">
        <f t="shared" si="18"/>
        <v>-608257</v>
      </c>
      <c r="AC55" s="112">
        <f t="shared" si="18"/>
        <v>-583182</v>
      </c>
      <c r="AD55" s="112">
        <f t="shared" si="18"/>
        <v>-607800</v>
      </c>
      <c r="AE55" s="112">
        <f t="shared" si="18"/>
        <v>-596079</v>
      </c>
      <c r="AF55" s="112">
        <f t="shared" si="18"/>
        <v>-561986</v>
      </c>
      <c r="AG55" s="112">
        <f t="shared" si="18"/>
        <v>-520621</v>
      </c>
      <c r="AH55" s="112">
        <f t="shared" si="18"/>
        <v>-542817</v>
      </c>
      <c r="AI55" s="112">
        <f t="shared" si="18"/>
        <v>-511107.68879999995</v>
      </c>
      <c r="AJ55" s="112">
        <f t="shared" si="18"/>
        <v>-483652</v>
      </c>
      <c r="AK55" s="112">
        <f t="shared" si="18"/>
        <v>-467952</v>
      </c>
      <c r="AL55" s="112">
        <f t="shared" si="18"/>
        <v>-475394</v>
      </c>
      <c r="AM55" s="112">
        <f t="shared" si="18"/>
        <v>-460714</v>
      </c>
      <c r="AN55" s="112">
        <f t="shared" si="18"/>
        <v>-421808</v>
      </c>
      <c r="AO55" s="112">
        <f t="shared" si="18"/>
        <v>-396387</v>
      </c>
      <c r="AP55" s="163"/>
    </row>
    <row r="56" spans="1:42" x14ac:dyDescent="0.25">
      <c r="A56" s="183"/>
      <c r="B56" s="104"/>
      <c r="C56" s="104"/>
      <c r="D56" s="104"/>
      <c r="E56" s="104"/>
      <c r="F56" s="104"/>
      <c r="G56" s="104"/>
      <c r="H56" s="104"/>
      <c r="I56" s="104"/>
      <c r="J56" s="105"/>
      <c r="K56" s="104"/>
      <c r="L56" s="105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</row>
    <row r="57" spans="1:42" s="30" customFormat="1" x14ac:dyDescent="0.25">
      <c r="A57" s="124" t="s">
        <v>255</v>
      </c>
      <c r="B57" s="29">
        <v>-346473.25</v>
      </c>
      <c r="C57" s="29">
        <v>-335867.75</v>
      </c>
      <c r="D57" s="29">
        <v>-341696</v>
      </c>
      <c r="E57" s="29">
        <v>-337410</v>
      </c>
      <c r="F57" s="29">
        <v>-345040</v>
      </c>
      <c r="G57" s="29">
        <v>-337631</v>
      </c>
      <c r="H57" s="29">
        <v>-336429</v>
      </c>
      <c r="I57" s="29">
        <v>-314496</v>
      </c>
      <c r="J57" s="122">
        <v>-329645</v>
      </c>
      <c r="K57" s="29">
        <v>-336534</v>
      </c>
      <c r="L57" s="122">
        <v>-324232</v>
      </c>
      <c r="M57" s="122">
        <v>-312823</v>
      </c>
      <c r="N57" s="122">
        <v>-323002</v>
      </c>
      <c r="O57" s="122">
        <v>-306875</v>
      </c>
      <c r="P57" s="122">
        <v>-311225</v>
      </c>
      <c r="Q57" s="122">
        <v>-286448</v>
      </c>
      <c r="R57" s="122">
        <v>-293929</v>
      </c>
      <c r="S57" s="122">
        <v>-281529</v>
      </c>
      <c r="T57" s="122">
        <v>-286290</v>
      </c>
      <c r="U57" s="122">
        <v>-266440</v>
      </c>
      <c r="V57" s="122">
        <v>-450866</v>
      </c>
      <c r="W57" s="118">
        <v>-289888</v>
      </c>
      <c r="X57" s="122">
        <v>-304359</v>
      </c>
      <c r="Y57" s="118">
        <v>-293241</v>
      </c>
      <c r="Z57" s="122">
        <v>-283582</v>
      </c>
      <c r="AA57" s="122">
        <v>-271785</v>
      </c>
      <c r="AB57" s="122">
        <v>-268693</v>
      </c>
      <c r="AC57" s="122">
        <v>-261698</v>
      </c>
      <c r="AD57" s="122">
        <v>-267503</v>
      </c>
      <c r="AE57" s="122">
        <v>-266014</v>
      </c>
      <c r="AF57" s="122">
        <v>-247672</v>
      </c>
      <c r="AG57" s="122">
        <v>-230175</v>
      </c>
      <c r="AH57" s="122">
        <v>-242020</v>
      </c>
      <c r="AI57" s="122">
        <v>-223830.88879999999</v>
      </c>
      <c r="AJ57" s="122">
        <v>-224447</v>
      </c>
      <c r="AK57" s="122">
        <v>-213704</v>
      </c>
      <c r="AL57" s="122">
        <v>-222033</v>
      </c>
      <c r="AM57" s="122">
        <v>-219557</v>
      </c>
      <c r="AN57" s="122">
        <v>-197786</v>
      </c>
      <c r="AO57" s="122">
        <v>-182570</v>
      </c>
      <c r="AP57" s="33"/>
    </row>
    <row r="58" spans="1:42" x14ac:dyDescent="0.25">
      <c r="A58" s="315" t="s">
        <v>256</v>
      </c>
      <c r="B58" s="308">
        <v>-164342</v>
      </c>
      <c r="C58" s="308">
        <v>-158990</v>
      </c>
      <c r="D58" s="308">
        <v>-159475</v>
      </c>
      <c r="E58" s="308">
        <v>-158984</v>
      </c>
      <c r="F58" s="308">
        <v>-153929</v>
      </c>
      <c r="G58" s="308">
        <v>-153180</v>
      </c>
      <c r="H58" s="308">
        <v>-148408</v>
      </c>
      <c r="I58" s="308">
        <v>-145096</v>
      </c>
      <c r="J58" s="251">
        <v>-143636</v>
      </c>
      <c r="K58" s="308">
        <v>-141292</v>
      </c>
      <c r="L58" s="251">
        <v>-141315.74009000001</v>
      </c>
      <c r="M58" s="120">
        <v>-141744</v>
      </c>
      <c r="N58" s="120">
        <v>-141477</v>
      </c>
      <c r="O58" s="120">
        <v>-141252</v>
      </c>
      <c r="P58" s="120">
        <v>-139422</v>
      </c>
      <c r="Q58" s="120">
        <v>-141845</v>
      </c>
      <c r="R58" s="120">
        <v>-155588</v>
      </c>
      <c r="S58" s="120">
        <v>-148098</v>
      </c>
      <c r="T58" s="120">
        <v>-146960</v>
      </c>
      <c r="U58" s="120">
        <v>-146099</v>
      </c>
      <c r="V58" s="120">
        <v>-140940</v>
      </c>
      <c r="W58" s="120">
        <v>-138567</v>
      </c>
      <c r="X58" s="120">
        <v>-135206</v>
      </c>
      <c r="Y58" s="120">
        <v>-133880</v>
      </c>
      <c r="Z58" s="120">
        <v>-130207</v>
      </c>
      <c r="AA58" s="120">
        <v>-122520</v>
      </c>
      <c r="AB58" s="120">
        <v>-119009</v>
      </c>
      <c r="AC58" s="120">
        <v>-113869</v>
      </c>
      <c r="AD58" s="120">
        <v>-112566</v>
      </c>
      <c r="AE58" s="120">
        <v>-111924</v>
      </c>
      <c r="AF58" s="120">
        <v>-103801</v>
      </c>
      <c r="AG58" s="120">
        <v>-99743</v>
      </c>
      <c r="AH58" s="120">
        <v>-99308</v>
      </c>
      <c r="AI58" s="120">
        <v>-97613</v>
      </c>
      <c r="AJ58" s="120">
        <v>-88493</v>
      </c>
      <c r="AK58" s="120">
        <v>-86904</v>
      </c>
      <c r="AL58" s="120">
        <v>-82131</v>
      </c>
      <c r="AM58" s="120">
        <v>-75396</v>
      </c>
      <c r="AN58" s="120">
        <v>-70484</v>
      </c>
      <c r="AO58" s="120">
        <v>-76486</v>
      </c>
    </row>
    <row r="59" spans="1:42" s="30" customFormat="1" x14ac:dyDescent="0.25">
      <c r="A59" s="316" t="s">
        <v>257</v>
      </c>
      <c r="B59" s="29">
        <v>-123315</v>
      </c>
      <c r="C59" s="29">
        <v>-114723</v>
      </c>
      <c r="D59" s="29">
        <v>-105227</v>
      </c>
      <c r="E59" s="29">
        <v>-109023</v>
      </c>
      <c r="F59" s="29">
        <v>-123943</v>
      </c>
      <c r="G59" s="29">
        <v>-131500</v>
      </c>
      <c r="H59" s="29">
        <v>-106341</v>
      </c>
      <c r="I59" s="29">
        <v>-114415</v>
      </c>
      <c r="J59" s="122">
        <v>-120219.8</v>
      </c>
      <c r="K59" s="29">
        <v>-128645</v>
      </c>
      <c r="L59" s="122">
        <v>-93722</v>
      </c>
      <c r="M59" s="122">
        <v>-80857</v>
      </c>
      <c r="N59" s="122">
        <v>-111428</v>
      </c>
      <c r="O59" s="122">
        <v>-96624</v>
      </c>
      <c r="P59" s="122">
        <v>-95435</v>
      </c>
      <c r="Q59" s="122">
        <v>-92330</v>
      </c>
      <c r="R59" s="122">
        <v>-101672</v>
      </c>
      <c r="S59" s="122">
        <v>-94920</v>
      </c>
      <c r="T59" s="122">
        <v>-87013</v>
      </c>
      <c r="U59" s="122">
        <v>-91314</v>
      </c>
      <c r="V59" s="122">
        <v>-108168</v>
      </c>
      <c r="W59" s="122">
        <v>-103365</v>
      </c>
      <c r="X59" s="122">
        <v>-97654</v>
      </c>
      <c r="Y59" s="122">
        <v>-69218</v>
      </c>
      <c r="Z59" s="122">
        <v>-69727</v>
      </c>
      <c r="AA59" s="122">
        <v>-63982</v>
      </c>
      <c r="AB59" s="122">
        <v>-63451</v>
      </c>
      <c r="AC59" s="122">
        <v>-61596</v>
      </c>
      <c r="AD59" s="122">
        <v>-57483</v>
      </c>
      <c r="AE59" s="122">
        <v>-57210</v>
      </c>
      <c r="AF59" s="122">
        <v>-53430</v>
      </c>
      <c r="AG59" s="122">
        <v>-52438</v>
      </c>
      <c r="AH59" s="122">
        <v>-66256</v>
      </c>
      <c r="AI59" s="122">
        <v>-61390.7</v>
      </c>
      <c r="AJ59" s="122">
        <v>-58057</v>
      </c>
      <c r="AK59" s="122">
        <v>-55354</v>
      </c>
      <c r="AL59" s="122">
        <v>-59203</v>
      </c>
      <c r="AM59" s="122">
        <v>-60175</v>
      </c>
      <c r="AN59" s="122">
        <v>-53214</v>
      </c>
      <c r="AO59" s="122">
        <v>-49408</v>
      </c>
      <c r="AP59" s="33"/>
    </row>
    <row r="60" spans="1:42" x14ac:dyDescent="0.25">
      <c r="A60" s="315" t="s">
        <v>258</v>
      </c>
      <c r="B60" s="308">
        <v>-111447</v>
      </c>
      <c r="C60" s="308">
        <v>-110541</v>
      </c>
      <c r="D60" s="308">
        <v>-105328</v>
      </c>
      <c r="E60" s="308">
        <v>-98672</v>
      </c>
      <c r="F60" s="308">
        <v>-119262</v>
      </c>
      <c r="G60" s="308">
        <v>-108646</v>
      </c>
      <c r="H60" s="308">
        <f>-111570-3504</f>
        <v>-115074</v>
      </c>
      <c r="I60" s="308">
        <f>-110233-2906</f>
        <v>-113139</v>
      </c>
      <c r="J60" s="251">
        <f>-109802-2115</f>
        <v>-111917</v>
      </c>
      <c r="K60" s="308">
        <f>-108440-2911</f>
        <v>-111351</v>
      </c>
      <c r="L60" s="251">
        <f>-115567-2923</f>
        <v>-118490</v>
      </c>
      <c r="M60" s="120">
        <v>-103068</v>
      </c>
      <c r="N60" s="120">
        <v>-116432</v>
      </c>
      <c r="O60" s="120">
        <v>-102579</v>
      </c>
      <c r="P60" s="120">
        <v>-103694</v>
      </c>
      <c r="Q60" s="120">
        <v>-98617</v>
      </c>
      <c r="R60" s="120">
        <v>-99648</v>
      </c>
      <c r="S60" s="120">
        <v>-99039</v>
      </c>
      <c r="T60" s="120">
        <v>-88205</v>
      </c>
      <c r="U60" s="120">
        <v>-88872</v>
      </c>
      <c r="V60" s="120">
        <v>-89345</v>
      </c>
      <c r="W60" s="120">
        <v>-78235</v>
      </c>
      <c r="X60" s="120">
        <v>-91456</v>
      </c>
      <c r="Y60" s="120">
        <v>-85574</v>
      </c>
      <c r="Z60" s="120">
        <v>-95718</v>
      </c>
      <c r="AA60" s="120">
        <v>-91395</v>
      </c>
      <c r="AB60" s="120">
        <v>-95817</v>
      </c>
      <c r="AC60" s="120">
        <v>-88461</v>
      </c>
      <c r="AD60" s="120">
        <v>-105422</v>
      </c>
      <c r="AE60" s="120">
        <v>-103070</v>
      </c>
      <c r="AF60" s="120">
        <v>-100816</v>
      </c>
      <c r="AG60" s="120">
        <v>-85151</v>
      </c>
      <c r="AH60" s="120">
        <v>-83244</v>
      </c>
      <c r="AI60" s="120">
        <v>-78043</v>
      </c>
      <c r="AJ60" s="120">
        <v>-72479</v>
      </c>
      <c r="AK60" s="120">
        <v>-62128</v>
      </c>
      <c r="AL60" s="120">
        <v>-64486</v>
      </c>
      <c r="AM60" s="120">
        <v>-62746</v>
      </c>
      <c r="AN60" s="120">
        <v>-61240</v>
      </c>
      <c r="AO60" s="120">
        <v>-48200</v>
      </c>
    </row>
    <row r="61" spans="1:42" s="30" customFormat="1" x14ac:dyDescent="0.25">
      <c r="A61" s="316" t="s">
        <v>33</v>
      </c>
      <c r="B61" s="29">
        <v>-18070</v>
      </c>
      <c r="C61" s="29">
        <v>-18544</v>
      </c>
      <c r="D61" s="29">
        <v>-21525</v>
      </c>
      <c r="E61" s="29">
        <v>-19654</v>
      </c>
      <c r="F61" s="29">
        <v>-17753</v>
      </c>
      <c r="G61" s="29">
        <v>-18617</v>
      </c>
      <c r="H61" s="29">
        <v>-18849</v>
      </c>
      <c r="I61" s="29">
        <v>-20475</v>
      </c>
      <c r="J61" s="122">
        <v>-22871.3</v>
      </c>
      <c r="K61" s="29">
        <v>-25554</v>
      </c>
      <c r="L61" s="122">
        <v>-20121</v>
      </c>
      <c r="M61" s="122">
        <v>-18599</v>
      </c>
      <c r="N61" s="122">
        <v>-20437</v>
      </c>
      <c r="O61" s="122">
        <v>-21259</v>
      </c>
      <c r="P61" s="122">
        <v>-7196</v>
      </c>
      <c r="Q61" s="122">
        <v>-10799</v>
      </c>
      <c r="R61" s="122">
        <v>-1492</v>
      </c>
      <c r="S61" s="122">
        <v>-12385</v>
      </c>
      <c r="T61" s="122">
        <v>-15655</v>
      </c>
      <c r="U61" s="122">
        <v>-13241</v>
      </c>
      <c r="V61" s="122" t="s">
        <v>32</v>
      </c>
      <c r="W61" s="122" t="s">
        <v>32</v>
      </c>
      <c r="X61" s="122" t="s">
        <v>32</v>
      </c>
      <c r="Y61" s="122" t="s">
        <v>32</v>
      </c>
      <c r="Z61" s="122" t="s">
        <v>32</v>
      </c>
      <c r="AA61" s="122" t="s">
        <v>32</v>
      </c>
      <c r="AB61" s="122" t="s">
        <v>32</v>
      </c>
      <c r="AC61" s="122" t="s">
        <v>32</v>
      </c>
      <c r="AD61" s="122" t="s">
        <v>32</v>
      </c>
      <c r="AE61" s="122" t="s">
        <v>32</v>
      </c>
      <c r="AF61" s="122" t="s">
        <v>32</v>
      </c>
      <c r="AG61" s="122" t="s">
        <v>32</v>
      </c>
      <c r="AH61" s="122" t="s">
        <v>32</v>
      </c>
      <c r="AI61" s="122" t="s">
        <v>32</v>
      </c>
      <c r="AJ61" s="122" t="s">
        <v>32</v>
      </c>
      <c r="AK61" s="122" t="s">
        <v>32</v>
      </c>
      <c r="AL61" s="122" t="s">
        <v>32</v>
      </c>
      <c r="AM61" s="122" t="s">
        <v>32</v>
      </c>
      <c r="AN61" s="122" t="s">
        <v>32</v>
      </c>
      <c r="AO61" s="122" t="s">
        <v>32</v>
      </c>
      <c r="AP61" s="33"/>
    </row>
    <row r="62" spans="1:42" x14ac:dyDescent="0.25">
      <c r="A62" s="315" t="s">
        <v>259</v>
      </c>
      <c r="B62" s="308">
        <v>-47718</v>
      </c>
      <c r="C62" s="308">
        <v>-38357</v>
      </c>
      <c r="D62" s="308">
        <v>-45357</v>
      </c>
      <c r="E62" s="308">
        <v>-47004</v>
      </c>
      <c r="F62" s="308">
        <v>-43358</v>
      </c>
      <c r="G62" s="308">
        <v>-39536</v>
      </c>
      <c r="H62" s="308">
        <f>-13889-19558-6287</f>
        <v>-39734</v>
      </c>
      <c r="I62" s="308">
        <f>-11972-19845-6172</f>
        <v>-37989</v>
      </c>
      <c r="J62" s="251">
        <f>-12380-16303-6361</f>
        <v>-35044</v>
      </c>
      <c r="K62" s="308">
        <f>-13299-6531-14478</f>
        <v>-34308</v>
      </c>
      <c r="L62" s="251">
        <f>-12469-16349-6728</f>
        <v>-35546</v>
      </c>
      <c r="M62" s="120">
        <v>-40562</v>
      </c>
      <c r="N62" s="120">
        <v>-36169</v>
      </c>
      <c r="O62" s="120">
        <v>-33549</v>
      </c>
      <c r="P62" s="120">
        <v>-35211</v>
      </c>
      <c r="Q62" s="120">
        <v>-35483</v>
      </c>
      <c r="R62" s="120">
        <v>-34608</v>
      </c>
      <c r="S62" s="120">
        <v>-33464</v>
      </c>
      <c r="T62" s="120">
        <v>-32834</v>
      </c>
      <c r="U62" s="120">
        <v>-33513</v>
      </c>
      <c r="V62" s="120">
        <v>-30138</v>
      </c>
      <c r="W62" s="120">
        <v>-29416</v>
      </c>
      <c r="X62" s="120">
        <v>-30662</v>
      </c>
      <c r="Y62" s="120">
        <v>-34039</v>
      </c>
      <c r="Z62" s="120">
        <v>-34478</v>
      </c>
      <c r="AA62" s="120">
        <v>-31751</v>
      </c>
      <c r="AB62" s="120">
        <v>-30430</v>
      </c>
      <c r="AC62" s="120">
        <v>-33227</v>
      </c>
      <c r="AD62" s="120">
        <v>-29644</v>
      </c>
      <c r="AE62" s="120">
        <v>-30492</v>
      </c>
      <c r="AF62" s="120">
        <v>-30087</v>
      </c>
      <c r="AG62" s="120">
        <v>-28716</v>
      </c>
      <c r="AH62" s="120">
        <v>-26966</v>
      </c>
      <c r="AI62" s="120">
        <v>-25550</v>
      </c>
      <c r="AJ62" s="120">
        <v>-25813</v>
      </c>
      <c r="AK62" s="120">
        <v>-27105</v>
      </c>
      <c r="AL62" s="120">
        <v>-25738</v>
      </c>
      <c r="AM62" s="120">
        <v>-24731</v>
      </c>
      <c r="AN62" s="120">
        <v>-24897</v>
      </c>
      <c r="AO62" s="120">
        <v>-23740</v>
      </c>
    </row>
    <row r="63" spans="1:42" s="30" customFormat="1" x14ac:dyDescent="0.25">
      <c r="A63" s="316" t="s">
        <v>260</v>
      </c>
      <c r="B63" s="29">
        <v>-20854</v>
      </c>
      <c r="C63" s="29">
        <v>-15211</v>
      </c>
      <c r="D63" s="29">
        <v>-5472</v>
      </c>
      <c r="E63" s="29">
        <v>-14090</v>
      </c>
      <c r="F63" s="29">
        <v>-14339</v>
      </c>
      <c r="G63" s="29">
        <v>-11247</v>
      </c>
      <c r="H63" s="29">
        <f>-13181-3624</f>
        <v>-16805</v>
      </c>
      <c r="I63" s="29">
        <f>-6262-2537</f>
        <v>-8799</v>
      </c>
      <c r="J63" s="122">
        <f>-8394-3205</f>
        <v>-11599</v>
      </c>
      <c r="K63" s="29">
        <f>-7741-4208</f>
        <v>-11949</v>
      </c>
      <c r="L63" s="122">
        <f>-7889-6306</f>
        <v>-14195</v>
      </c>
      <c r="M63" s="122">
        <v>-11764</v>
      </c>
      <c r="N63" s="122">
        <v>-14935</v>
      </c>
      <c r="O63" s="122">
        <v>-12102</v>
      </c>
      <c r="P63" s="122">
        <v>-10603</v>
      </c>
      <c r="Q63" s="122">
        <v>-9569</v>
      </c>
      <c r="R63" s="122">
        <v>-11920</v>
      </c>
      <c r="S63" s="122">
        <v>-9236</v>
      </c>
      <c r="T63" s="122">
        <v>-7761</v>
      </c>
      <c r="U63" s="122">
        <v>-4440</v>
      </c>
      <c r="V63" s="122">
        <v>-11422</v>
      </c>
      <c r="W63" s="122">
        <v>-8796</v>
      </c>
      <c r="X63" s="122">
        <v>-8187</v>
      </c>
      <c r="Y63" s="122">
        <v>-7786</v>
      </c>
      <c r="Z63" s="122">
        <v>-20043</v>
      </c>
      <c r="AA63" s="122">
        <v>-11839</v>
      </c>
      <c r="AB63" s="122">
        <v>-11563</v>
      </c>
      <c r="AC63" s="122">
        <v>-11011</v>
      </c>
      <c r="AD63" s="122">
        <v>-16737</v>
      </c>
      <c r="AE63" s="122">
        <v>-13365</v>
      </c>
      <c r="AF63" s="122">
        <v>-9318</v>
      </c>
      <c r="AG63" s="122">
        <v>-12146</v>
      </c>
      <c r="AH63" s="122">
        <v>-14111</v>
      </c>
      <c r="AI63" s="122">
        <v>-10757</v>
      </c>
      <c r="AJ63" s="122">
        <v>-9135</v>
      </c>
      <c r="AK63" s="122">
        <v>-7373</v>
      </c>
      <c r="AL63" s="122">
        <v>-13227</v>
      </c>
      <c r="AM63" s="122">
        <v>-7978</v>
      </c>
      <c r="AN63" s="122">
        <v>-5036</v>
      </c>
      <c r="AO63" s="122">
        <v>-7666</v>
      </c>
      <c r="AP63" s="33"/>
    </row>
    <row r="64" spans="1:42" x14ac:dyDescent="0.25">
      <c r="A64" s="315" t="s">
        <v>261</v>
      </c>
      <c r="B64" s="308">
        <v>-34522</v>
      </c>
      <c r="C64" s="308">
        <v>-34790</v>
      </c>
      <c r="D64" s="308">
        <v>-30617</v>
      </c>
      <c r="E64" s="308">
        <v>-33503</v>
      </c>
      <c r="F64" s="308">
        <v>-32161</v>
      </c>
      <c r="G64" s="308">
        <v>-26867</v>
      </c>
      <c r="H64" s="308">
        <v>-24295</v>
      </c>
      <c r="I64" s="308">
        <v>-22480</v>
      </c>
      <c r="J64" s="251">
        <v>-24526</v>
      </c>
      <c r="K64" s="308">
        <v>-23005</v>
      </c>
      <c r="L64" s="251">
        <v>-22820</v>
      </c>
      <c r="M64" s="120">
        <v>-21136</v>
      </c>
      <c r="N64" s="120">
        <v>-22797</v>
      </c>
      <c r="O64" s="120">
        <v>-21537</v>
      </c>
      <c r="P64" s="120">
        <v>-20153</v>
      </c>
      <c r="Q64" s="120">
        <v>-18582</v>
      </c>
      <c r="R64" s="120">
        <v>-19407</v>
      </c>
      <c r="S64" s="120">
        <v>-19344</v>
      </c>
      <c r="T64" s="120">
        <v>-17501</v>
      </c>
      <c r="U64" s="120">
        <v>-15881</v>
      </c>
      <c r="V64" s="120">
        <v>-17465</v>
      </c>
      <c r="W64" s="120">
        <v>-16719</v>
      </c>
      <c r="X64" s="120">
        <v>-15200</v>
      </c>
      <c r="Y64" s="120">
        <v>-16318</v>
      </c>
      <c r="Z64" s="120">
        <v>-18738</v>
      </c>
      <c r="AA64" s="120">
        <v>-18777</v>
      </c>
      <c r="AB64" s="120">
        <v>-18361</v>
      </c>
      <c r="AC64" s="120">
        <v>-17241</v>
      </c>
      <c r="AD64" s="120">
        <v>-18252</v>
      </c>
      <c r="AE64" s="120">
        <v>-18697</v>
      </c>
      <c r="AF64" s="120">
        <v>-18126</v>
      </c>
      <c r="AG64" s="120">
        <v>-16859</v>
      </c>
      <c r="AH64" s="120">
        <v>-18771</v>
      </c>
      <c r="AI64" s="120">
        <v>-18146.7</v>
      </c>
      <c r="AJ64" s="120">
        <v>-16396</v>
      </c>
      <c r="AK64" s="120">
        <v>-14795</v>
      </c>
      <c r="AL64" s="120">
        <v>-16403</v>
      </c>
      <c r="AM64" s="120">
        <v>-17077</v>
      </c>
      <c r="AN64" s="120">
        <v>-15610</v>
      </c>
      <c r="AO64" s="120">
        <v>-13983</v>
      </c>
    </row>
    <row r="65" spans="1:42" s="30" customFormat="1" x14ac:dyDescent="0.25">
      <c r="A65" s="316" t="s">
        <v>262</v>
      </c>
      <c r="B65" s="29">
        <v>-88781</v>
      </c>
      <c r="C65" s="29">
        <v>-93414</v>
      </c>
      <c r="D65" s="29">
        <v>-136093</v>
      </c>
      <c r="E65" s="29">
        <v>-51592</v>
      </c>
      <c r="F65" s="29">
        <v>-44852</v>
      </c>
      <c r="G65" s="29">
        <v>-47493</v>
      </c>
      <c r="H65" s="29">
        <v>-47059</v>
      </c>
      <c r="I65" s="29">
        <v>-50251</v>
      </c>
      <c r="J65" s="122">
        <v>-53230</v>
      </c>
      <c r="K65" s="29">
        <v>-79656</v>
      </c>
      <c r="L65" s="122">
        <v>-62878</v>
      </c>
      <c r="M65" s="122">
        <v>-57004</v>
      </c>
      <c r="N65" s="122">
        <v>-50430</v>
      </c>
      <c r="O65" s="122">
        <v>-52509</v>
      </c>
      <c r="P65" s="122">
        <v>-47071</v>
      </c>
      <c r="Q65" s="122">
        <v>-48660</v>
      </c>
      <c r="R65" s="122">
        <v>-40448</v>
      </c>
      <c r="S65" s="122">
        <v>-41393</v>
      </c>
      <c r="T65" s="122">
        <v>-43339</v>
      </c>
      <c r="U65" s="122">
        <v>-33098</v>
      </c>
      <c r="V65" s="122">
        <v>-36506</v>
      </c>
      <c r="W65" s="122">
        <v>-30443</v>
      </c>
      <c r="X65" s="122">
        <v>-41479</v>
      </c>
      <c r="Y65" s="122">
        <v>-22522</v>
      </c>
      <c r="Z65" s="122">
        <v>-24362</v>
      </c>
      <c r="AA65" s="122">
        <v>-22800</v>
      </c>
      <c r="AB65" s="122">
        <v>-25237</v>
      </c>
      <c r="AC65" s="122">
        <v>-19959</v>
      </c>
      <c r="AD65" s="122">
        <v>-23557</v>
      </c>
      <c r="AE65" s="122">
        <v>-17581</v>
      </c>
      <c r="AF65" s="122">
        <v>-17405</v>
      </c>
      <c r="AG65" s="122">
        <v>-15130</v>
      </c>
      <c r="AH65" s="122">
        <v>-13845</v>
      </c>
      <c r="AI65" s="122">
        <v>-19588.7</v>
      </c>
      <c r="AJ65" s="122">
        <v>-11625</v>
      </c>
      <c r="AK65" s="122">
        <v>-21961</v>
      </c>
      <c r="AL65" s="122">
        <v>-12631</v>
      </c>
      <c r="AM65" s="122">
        <v>-11166</v>
      </c>
      <c r="AN65" s="122">
        <v>-10206</v>
      </c>
      <c r="AO65" s="122">
        <v>-9970</v>
      </c>
      <c r="AP65" s="33"/>
    </row>
    <row r="66" spans="1:42" x14ac:dyDescent="0.25">
      <c r="A66" s="315" t="s">
        <v>263</v>
      </c>
      <c r="B66" s="308">
        <v>14015</v>
      </c>
      <c r="C66" s="308">
        <v>12823</v>
      </c>
      <c r="D66" s="308">
        <v>13748</v>
      </c>
      <c r="E66" s="308">
        <v>12798</v>
      </c>
      <c r="F66" s="308">
        <v>12508</v>
      </c>
      <c r="G66" s="308">
        <v>23336</v>
      </c>
      <c r="H66" s="308">
        <v>28921</v>
      </c>
      <c r="I66" s="308">
        <v>29544</v>
      </c>
      <c r="J66" s="251">
        <v>29903</v>
      </c>
      <c r="K66" s="308">
        <v>28607</v>
      </c>
      <c r="L66" s="251">
        <v>26102</v>
      </c>
      <c r="M66" s="120">
        <v>26102</v>
      </c>
      <c r="N66" s="120">
        <v>29920</v>
      </c>
      <c r="O66" s="120">
        <v>30296</v>
      </c>
      <c r="P66" s="120">
        <v>30264</v>
      </c>
      <c r="Q66" s="120">
        <v>29877</v>
      </c>
      <c r="R66" s="120">
        <v>31597</v>
      </c>
      <c r="S66" s="120">
        <v>31538</v>
      </c>
      <c r="T66" s="120">
        <v>31583</v>
      </c>
      <c r="U66" s="120">
        <v>33493</v>
      </c>
      <c r="V66" s="120">
        <v>31628</v>
      </c>
      <c r="W66" s="120">
        <v>29497</v>
      </c>
      <c r="X66" s="120">
        <v>29098</v>
      </c>
      <c r="Y66" s="120">
        <v>28257</v>
      </c>
      <c r="Z66" s="120">
        <v>27870</v>
      </c>
      <c r="AA66" s="120">
        <v>24617</v>
      </c>
      <c r="AB66" s="120">
        <v>24304</v>
      </c>
      <c r="AC66" s="120">
        <v>23880</v>
      </c>
      <c r="AD66" s="120">
        <v>23364</v>
      </c>
      <c r="AE66" s="120">
        <v>22274</v>
      </c>
      <c r="AF66" s="120">
        <v>18669</v>
      </c>
      <c r="AG66" s="120">
        <v>19737</v>
      </c>
      <c r="AH66" s="120">
        <v>21704</v>
      </c>
      <c r="AI66" s="120">
        <v>23812.3</v>
      </c>
      <c r="AJ66" s="120">
        <v>22793</v>
      </c>
      <c r="AK66" s="120">
        <v>21372</v>
      </c>
      <c r="AL66" s="120">
        <v>20458</v>
      </c>
      <c r="AM66" s="120">
        <v>18112</v>
      </c>
      <c r="AN66" s="120">
        <v>16665</v>
      </c>
      <c r="AO66" s="120">
        <v>15636</v>
      </c>
    </row>
    <row r="67" spans="1:42" s="30" customFormat="1" ht="13.5" customHeight="1" x14ac:dyDescent="0.25">
      <c r="A67" s="124"/>
      <c r="B67" s="177"/>
      <c r="C67" s="177"/>
      <c r="D67" s="177"/>
      <c r="E67" s="177"/>
      <c r="F67" s="177"/>
      <c r="G67" s="177"/>
      <c r="H67" s="177"/>
      <c r="I67" s="177"/>
      <c r="J67" s="178"/>
      <c r="K67" s="177"/>
      <c r="L67" s="17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33"/>
    </row>
    <row r="68" spans="1:42" s="117" customFormat="1" ht="29.25" customHeight="1" x14ac:dyDescent="0.25">
      <c r="A68" s="190" t="s">
        <v>264</v>
      </c>
      <c r="B68" s="112">
        <f t="shared" ref="B68:H68" si="19">B55-B58</f>
        <v>-777165.25</v>
      </c>
      <c r="C68" s="112">
        <f t="shared" si="19"/>
        <v>-748624.75</v>
      </c>
      <c r="D68" s="112">
        <f t="shared" si="19"/>
        <v>-777567</v>
      </c>
      <c r="E68" s="112">
        <f t="shared" si="19"/>
        <v>-698150</v>
      </c>
      <c r="F68" s="112">
        <f t="shared" si="19"/>
        <v>-728200</v>
      </c>
      <c r="G68" s="112">
        <f t="shared" si="19"/>
        <v>-698201</v>
      </c>
      <c r="H68" s="112">
        <f t="shared" si="19"/>
        <v>-675665</v>
      </c>
      <c r="I68" s="112">
        <f t="shared" ref="I68:AO68" si="20">I55-I58</f>
        <v>-652500</v>
      </c>
      <c r="J68" s="112">
        <f t="shared" si="20"/>
        <v>-679149.10000000009</v>
      </c>
      <c r="K68" s="112">
        <f t="shared" si="20"/>
        <v>-722395</v>
      </c>
      <c r="L68" s="112">
        <f t="shared" si="20"/>
        <v>-665902</v>
      </c>
      <c r="M68" s="112">
        <f t="shared" si="20"/>
        <v>-619711</v>
      </c>
      <c r="N68" s="112">
        <f t="shared" si="20"/>
        <v>-665710</v>
      </c>
      <c r="O68" s="112">
        <f t="shared" si="20"/>
        <v>-616738</v>
      </c>
      <c r="P68" s="112">
        <f t="shared" si="20"/>
        <v>-600324</v>
      </c>
      <c r="Q68" s="112">
        <f t="shared" si="20"/>
        <v>-570611</v>
      </c>
      <c r="R68" s="112">
        <f t="shared" si="20"/>
        <v>-571527</v>
      </c>
      <c r="S68" s="112">
        <f t="shared" si="20"/>
        <v>-559772</v>
      </c>
      <c r="T68" s="112">
        <f t="shared" si="20"/>
        <v>-547015</v>
      </c>
      <c r="U68" s="112">
        <f t="shared" si="20"/>
        <v>-513306</v>
      </c>
      <c r="V68" s="112">
        <f t="shared" si="20"/>
        <v>-712282</v>
      </c>
      <c r="W68" s="112">
        <f t="shared" si="20"/>
        <v>-527365</v>
      </c>
      <c r="X68" s="112">
        <f t="shared" si="20"/>
        <v>-559899</v>
      </c>
      <c r="Y68" s="112">
        <f t="shared" si="20"/>
        <v>-500441</v>
      </c>
      <c r="Z68" s="112">
        <f t="shared" si="20"/>
        <v>-518778</v>
      </c>
      <c r="AA68" s="112">
        <f t="shared" si="20"/>
        <v>-487712</v>
      </c>
      <c r="AB68" s="112">
        <f>AB55-AB58</f>
        <v>-489248</v>
      </c>
      <c r="AC68" s="112">
        <f t="shared" si="20"/>
        <v>-469313</v>
      </c>
      <c r="AD68" s="112">
        <f t="shared" si="20"/>
        <v>-495234</v>
      </c>
      <c r="AE68" s="112">
        <f t="shared" si="20"/>
        <v>-484155</v>
      </c>
      <c r="AF68" s="112">
        <f t="shared" si="20"/>
        <v>-458185</v>
      </c>
      <c r="AG68" s="112">
        <f>AG55-AG58</f>
        <v>-420878</v>
      </c>
      <c r="AH68" s="112">
        <f t="shared" si="20"/>
        <v>-443509</v>
      </c>
      <c r="AI68" s="112">
        <f t="shared" si="20"/>
        <v>-413494.68879999995</v>
      </c>
      <c r="AJ68" s="112">
        <f t="shared" si="20"/>
        <v>-395159</v>
      </c>
      <c r="AK68" s="112">
        <f t="shared" si="20"/>
        <v>-381048</v>
      </c>
      <c r="AL68" s="112">
        <f t="shared" si="20"/>
        <v>-393263</v>
      </c>
      <c r="AM68" s="112">
        <f t="shared" si="20"/>
        <v>-385318</v>
      </c>
      <c r="AN68" s="112">
        <f t="shared" si="20"/>
        <v>-351324</v>
      </c>
      <c r="AO68" s="112">
        <f t="shared" si="20"/>
        <v>-319901</v>
      </c>
      <c r="AP68" s="163"/>
    </row>
    <row r="69" spans="1:42" x14ac:dyDescent="0.25">
      <c r="A69" s="182"/>
      <c r="B69" s="175"/>
      <c r="C69" s="175"/>
      <c r="D69" s="175"/>
      <c r="E69" s="175"/>
      <c r="F69" s="175"/>
      <c r="G69" s="175"/>
      <c r="H69" s="175"/>
      <c r="I69" s="175"/>
      <c r="J69" s="181"/>
      <c r="K69" s="175"/>
      <c r="L69" s="181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</row>
    <row r="70" spans="1:42" s="117" customFormat="1" ht="15.75" x14ac:dyDescent="0.25">
      <c r="A70" s="189" t="s">
        <v>265</v>
      </c>
      <c r="B70" s="158"/>
      <c r="C70" s="158"/>
      <c r="D70" s="158"/>
      <c r="E70" s="158"/>
      <c r="F70" s="158"/>
      <c r="G70" s="158"/>
      <c r="H70" s="158"/>
      <c r="I70" s="158"/>
      <c r="J70" s="159"/>
      <c r="K70" s="158"/>
      <c r="L70" s="159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3"/>
    </row>
    <row r="71" spans="1:42" s="30" customFormat="1" x14ac:dyDescent="0.25">
      <c r="A71" s="171"/>
      <c r="B71" s="102"/>
      <c r="C71" s="102"/>
      <c r="D71" s="102"/>
      <c r="E71" s="102"/>
      <c r="F71" s="102"/>
      <c r="G71" s="102"/>
      <c r="H71" s="102"/>
      <c r="I71" s="102"/>
      <c r="J71" s="103"/>
      <c r="K71" s="102"/>
      <c r="L71" s="103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33"/>
    </row>
    <row r="72" spans="1:42" x14ac:dyDescent="0.25">
      <c r="A72" s="180" t="s">
        <v>267</v>
      </c>
      <c r="B72" s="52">
        <v>14</v>
      </c>
      <c r="C72" s="52">
        <v>-111</v>
      </c>
      <c r="D72" s="52">
        <v>14</v>
      </c>
      <c r="E72" s="52">
        <v>20</v>
      </c>
      <c r="F72" s="52">
        <v>20</v>
      </c>
      <c r="G72" s="52">
        <v>22</v>
      </c>
      <c r="H72" s="52">
        <v>22</v>
      </c>
      <c r="I72" s="52">
        <v>66</v>
      </c>
      <c r="J72" s="119">
        <v>24</v>
      </c>
      <c r="K72" s="52">
        <v>23</v>
      </c>
      <c r="L72" s="119">
        <v>31</v>
      </c>
      <c r="M72" s="119">
        <v>18</v>
      </c>
      <c r="N72" s="119">
        <v>30</v>
      </c>
      <c r="O72" s="119">
        <v>30</v>
      </c>
      <c r="P72" s="119">
        <v>75</v>
      </c>
      <c r="Q72" s="119">
        <v>21</v>
      </c>
      <c r="R72" s="119">
        <v>47</v>
      </c>
      <c r="S72" s="119">
        <v>172</v>
      </c>
      <c r="T72" s="119">
        <v>53</v>
      </c>
      <c r="U72" s="119">
        <v>75</v>
      </c>
      <c r="V72" s="119">
        <v>29</v>
      </c>
      <c r="W72" s="119">
        <v>63</v>
      </c>
      <c r="X72" s="119">
        <v>16</v>
      </c>
      <c r="Y72" s="119">
        <v>117</v>
      </c>
      <c r="Z72" s="120">
        <v>1037</v>
      </c>
      <c r="AA72" s="119">
        <v>60</v>
      </c>
      <c r="AB72" s="119">
        <v>306</v>
      </c>
      <c r="AC72" s="120">
        <v>1021</v>
      </c>
      <c r="AD72" s="120">
        <v>630</v>
      </c>
      <c r="AE72" s="120">
        <v>-60</v>
      </c>
      <c r="AF72" s="120">
        <v>661</v>
      </c>
      <c r="AG72" s="120">
        <v>442</v>
      </c>
      <c r="AH72" s="120">
        <v>2850</v>
      </c>
      <c r="AI72" s="119">
        <v>258</v>
      </c>
      <c r="AJ72" s="119">
        <v>279</v>
      </c>
      <c r="AK72" s="119">
        <v>1902</v>
      </c>
      <c r="AL72" s="120">
        <v>1036</v>
      </c>
      <c r="AM72" s="119">
        <v>264</v>
      </c>
      <c r="AN72" s="119">
        <v>157</v>
      </c>
      <c r="AO72" s="119">
        <v>589</v>
      </c>
    </row>
    <row r="73" spans="1:42" s="30" customFormat="1" x14ac:dyDescent="0.25">
      <c r="A73" s="176" t="s">
        <v>268</v>
      </c>
      <c r="B73" s="29">
        <v>29594</v>
      </c>
      <c r="C73" s="29">
        <v>46373</v>
      </c>
      <c r="D73" s="29">
        <v>16588</v>
      </c>
      <c r="E73" s="29">
        <v>10521</v>
      </c>
      <c r="F73" s="29">
        <v>13860</v>
      </c>
      <c r="G73" s="29">
        <v>7003</v>
      </c>
      <c r="H73" s="29">
        <v>2217</v>
      </c>
      <c r="I73" s="29">
        <v>9579</v>
      </c>
      <c r="J73" s="122">
        <v>12531.1</v>
      </c>
      <c r="K73" s="29">
        <v>5807</v>
      </c>
      <c r="L73" s="122">
        <v>3848</v>
      </c>
      <c r="M73" s="122">
        <v>8797</v>
      </c>
      <c r="N73" s="122">
        <v>22252</v>
      </c>
      <c r="O73" s="122">
        <v>35677</v>
      </c>
      <c r="P73" s="122">
        <v>26394</v>
      </c>
      <c r="Q73" s="122">
        <v>61980</v>
      </c>
      <c r="R73" s="122">
        <v>43184</v>
      </c>
      <c r="S73" s="122">
        <v>16376</v>
      </c>
      <c r="T73" s="122">
        <v>5789</v>
      </c>
      <c r="U73" s="122">
        <v>10521</v>
      </c>
      <c r="V73" s="122">
        <v>58928</v>
      </c>
      <c r="W73" s="122">
        <v>43655</v>
      </c>
      <c r="X73" s="122">
        <v>15545</v>
      </c>
      <c r="Y73" s="122">
        <v>3203</v>
      </c>
      <c r="Z73" s="122">
        <v>5301</v>
      </c>
      <c r="AA73" s="122">
        <v>11528</v>
      </c>
      <c r="AB73" s="122">
        <v>5110</v>
      </c>
      <c r="AC73" s="122">
        <v>4587</v>
      </c>
      <c r="AD73" s="122">
        <v>24548</v>
      </c>
      <c r="AE73" s="122">
        <v>6624</v>
      </c>
      <c r="AF73" s="122">
        <v>980</v>
      </c>
      <c r="AG73" s="122">
        <v>905</v>
      </c>
      <c r="AH73" s="122">
        <v>9627</v>
      </c>
      <c r="AI73" s="122">
        <v>3699</v>
      </c>
      <c r="AJ73" s="122">
        <v>15145</v>
      </c>
      <c r="AK73" s="122">
        <v>29207</v>
      </c>
      <c r="AL73" s="122">
        <v>-5671</v>
      </c>
      <c r="AM73" s="122">
        <v>7822</v>
      </c>
      <c r="AN73" s="122">
        <v>3225</v>
      </c>
      <c r="AO73" s="122">
        <v>22669</v>
      </c>
      <c r="AP73" s="33"/>
    </row>
    <row r="74" spans="1:42" x14ac:dyDescent="0.25">
      <c r="A74" s="180" t="s">
        <v>269</v>
      </c>
      <c r="B74" s="32">
        <v>18518</v>
      </c>
      <c r="C74" s="32">
        <v>13602</v>
      </c>
      <c r="D74" s="32">
        <v>6212</v>
      </c>
      <c r="E74" s="32">
        <v>14678</v>
      </c>
      <c r="F74" s="32">
        <v>9138</v>
      </c>
      <c r="G74" s="32">
        <v>12219</v>
      </c>
      <c r="H74" s="32">
        <v>13368</v>
      </c>
      <c r="I74" s="32">
        <v>22051</v>
      </c>
      <c r="J74" s="120">
        <v>21721</v>
      </c>
      <c r="K74" s="32">
        <v>73285</v>
      </c>
      <c r="L74" s="120">
        <v>24570</v>
      </c>
      <c r="M74" s="120">
        <v>25645</v>
      </c>
      <c r="N74" s="120">
        <v>22514</v>
      </c>
      <c r="O74" s="120">
        <v>18256</v>
      </c>
      <c r="P74" s="120">
        <v>19284</v>
      </c>
      <c r="Q74" s="120">
        <v>17879</v>
      </c>
      <c r="R74" s="120">
        <v>24272</v>
      </c>
      <c r="S74" s="120">
        <v>16023</v>
      </c>
      <c r="T74" s="120">
        <v>20410</v>
      </c>
      <c r="U74" s="120">
        <v>17801</v>
      </c>
      <c r="V74" s="120">
        <v>14409</v>
      </c>
      <c r="W74" s="120">
        <v>19090</v>
      </c>
      <c r="X74" s="120">
        <v>14465</v>
      </c>
      <c r="Y74" s="120">
        <v>11483</v>
      </c>
      <c r="Z74" s="120">
        <v>12981</v>
      </c>
      <c r="AA74" s="120">
        <v>17368</v>
      </c>
      <c r="AB74" s="120">
        <v>13345</v>
      </c>
      <c r="AC74" s="120">
        <v>9602</v>
      </c>
      <c r="AD74" s="120">
        <v>15692</v>
      </c>
      <c r="AE74" s="120">
        <v>34236</v>
      </c>
      <c r="AF74" s="120">
        <v>8799</v>
      </c>
      <c r="AG74" s="120">
        <v>7466</v>
      </c>
      <c r="AH74" s="120">
        <v>10208</v>
      </c>
      <c r="AI74" s="120">
        <v>9933</v>
      </c>
      <c r="AJ74" s="120">
        <v>7881</v>
      </c>
      <c r="AK74" s="120">
        <v>7711</v>
      </c>
      <c r="AL74" s="120">
        <v>6696</v>
      </c>
      <c r="AM74" s="120">
        <v>7911</v>
      </c>
      <c r="AN74" s="120">
        <v>8142</v>
      </c>
      <c r="AO74" s="120">
        <v>7671</v>
      </c>
    </row>
    <row r="75" spans="1:42" s="30" customFormat="1" x14ac:dyDescent="0.25">
      <c r="A75" s="176" t="s">
        <v>270</v>
      </c>
      <c r="B75" s="29">
        <v>2863</v>
      </c>
      <c r="C75" s="29">
        <v>4803</v>
      </c>
      <c r="D75" s="29">
        <v>3594</v>
      </c>
      <c r="E75" s="29">
        <v>4058</v>
      </c>
      <c r="F75" s="29">
        <v>4365</v>
      </c>
      <c r="G75" s="29">
        <v>4213</v>
      </c>
      <c r="H75" s="29">
        <v>3539</v>
      </c>
      <c r="I75" s="29">
        <v>6255</v>
      </c>
      <c r="J75" s="122">
        <v>4438</v>
      </c>
      <c r="K75" s="29">
        <v>5782</v>
      </c>
      <c r="L75" s="122">
        <v>4072</v>
      </c>
      <c r="M75" s="122">
        <v>5543</v>
      </c>
      <c r="N75" s="122">
        <v>6195</v>
      </c>
      <c r="O75" s="122">
        <v>6751</v>
      </c>
      <c r="P75" s="122">
        <v>3975</v>
      </c>
      <c r="Q75" s="122">
        <v>6483</v>
      </c>
      <c r="R75" s="122">
        <v>20419</v>
      </c>
      <c r="S75" s="122">
        <v>3451</v>
      </c>
      <c r="T75" s="122">
        <v>3339</v>
      </c>
      <c r="U75" s="122">
        <v>8351</v>
      </c>
      <c r="V75" s="122">
        <v>6818</v>
      </c>
      <c r="W75" s="122">
        <v>2423</v>
      </c>
      <c r="X75" s="122">
        <v>3043</v>
      </c>
      <c r="Y75" s="122">
        <v>11904</v>
      </c>
      <c r="Z75" s="122">
        <v>13930</v>
      </c>
      <c r="AA75" s="122">
        <v>4493</v>
      </c>
      <c r="AB75" s="122">
        <v>5929</v>
      </c>
      <c r="AC75" s="122">
        <v>3749</v>
      </c>
      <c r="AD75" s="122">
        <v>1303</v>
      </c>
      <c r="AE75" s="122">
        <v>2862</v>
      </c>
      <c r="AF75" s="122">
        <v>1275</v>
      </c>
      <c r="AG75" s="122">
        <v>2365</v>
      </c>
      <c r="AH75" s="122">
        <v>9813</v>
      </c>
      <c r="AI75" s="122">
        <v>-1655</v>
      </c>
      <c r="AJ75" s="122">
        <v>9469</v>
      </c>
      <c r="AK75" s="122">
        <v>6003</v>
      </c>
      <c r="AL75" s="122">
        <v>8781</v>
      </c>
      <c r="AM75" s="122">
        <v>3480</v>
      </c>
      <c r="AN75" s="122">
        <v>2790</v>
      </c>
      <c r="AO75" s="122">
        <v>3140</v>
      </c>
      <c r="AP75" s="33"/>
    </row>
    <row r="76" spans="1:42" x14ac:dyDescent="0.25">
      <c r="A76" s="182"/>
      <c r="B76" s="175"/>
      <c r="C76" s="175"/>
      <c r="D76" s="175"/>
      <c r="E76" s="175"/>
      <c r="F76" s="175"/>
      <c r="G76" s="175"/>
      <c r="H76" s="175"/>
      <c r="I76" s="175"/>
      <c r="J76" s="181"/>
      <c r="K76" s="175"/>
      <c r="L76" s="181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</row>
    <row r="77" spans="1:42" s="117" customFormat="1" ht="15.75" x14ac:dyDescent="0.25">
      <c r="A77" s="189" t="s">
        <v>266</v>
      </c>
      <c r="B77" s="113">
        <f>SUM(B72:B76)</f>
        <v>50989</v>
      </c>
      <c r="C77" s="113">
        <f t="shared" ref="C77:H77" si="21">SUM(C72:C76)</f>
        <v>64667</v>
      </c>
      <c r="D77" s="113">
        <f t="shared" si="21"/>
        <v>26408</v>
      </c>
      <c r="E77" s="113">
        <f t="shared" si="21"/>
        <v>29277</v>
      </c>
      <c r="F77" s="113">
        <f t="shared" si="21"/>
        <v>27383</v>
      </c>
      <c r="G77" s="113">
        <f t="shared" si="21"/>
        <v>23457</v>
      </c>
      <c r="H77" s="113">
        <f t="shared" si="21"/>
        <v>19146</v>
      </c>
      <c r="I77" s="113">
        <f t="shared" ref="I77:AO77" si="22">SUM(I72:I76)</f>
        <v>37951</v>
      </c>
      <c r="J77" s="113">
        <f t="shared" si="22"/>
        <v>38714.1</v>
      </c>
      <c r="K77" s="113">
        <f t="shared" si="22"/>
        <v>84897</v>
      </c>
      <c r="L77" s="113">
        <f t="shared" si="22"/>
        <v>32521</v>
      </c>
      <c r="M77" s="113">
        <f t="shared" si="22"/>
        <v>40003</v>
      </c>
      <c r="N77" s="113">
        <f t="shared" si="22"/>
        <v>50991</v>
      </c>
      <c r="O77" s="113">
        <f t="shared" si="22"/>
        <v>60714</v>
      </c>
      <c r="P77" s="113">
        <f t="shared" si="22"/>
        <v>49728</v>
      </c>
      <c r="Q77" s="113">
        <f t="shared" si="22"/>
        <v>86363</v>
      </c>
      <c r="R77" s="113">
        <f t="shared" si="22"/>
        <v>87922</v>
      </c>
      <c r="S77" s="113">
        <f t="shared" si="22"/>
        <v>36022</v>
      </c>
      <c r="T77" s="113">
        <f t="shared" si="22"/>
        <v>29591</v>
      </c>
      <c r="U77" s="113">
        <f t="shared" si="22"/>
        <v>36748</v>
      </c>
      <c r="V77" s="113">
        <f t="shared" si="22"/>
        <v>80184</v>
      </c>
      <c r="W77" s="113">
        <f t="shared" si="22"/>
        <v>65231</v>
      </c>
      <c r="X77" s="113">
        <f t="shared" si="22"/>
        <v>33069</v>
      </c>
      <c r="Y77" s="113">
        <f t="shared" si="22"/>
        <v>26707</v>
      </c>
      <c r="Z77" s="113">
        <f t="shared" si="22"/>
        <v>33249</v>
      </c>
      <c r="AA77" s="113">
        <f t="shared" si="22"/>
        <v>33449</v>
      </c>
      <c r="AB77" s="113">
        <f>SUM(AB72:AB76)</f>
        <v>24690</v>
      </c>
      <c r="AC77" s="113">
        <f t="shared" si="22"/>
        <v>18959</v>
      </c>
      <c r="AD77" s="113">
        <f t="shared" si="22"/>
        <v>42173</v>
      </c>
      <c r="AE77" s="113">
        <f t="shared" si="22"/>
        <v>43662</v>
      </c>
      <c r="AF77" s="113">
        <f t="shared" si="22"/>
        <v>11715</v>
      </c>
      <c r="AG77" s="113">
        <f t="shared" si="22"/>
        <v>11178</v>
      </c>
      <c r="AH77" s="113">
        <f t="shared" si="22"/>
        <v>32498</v>
      </c>
      <c r="AI77" s="113">
        <f t="shared" si="22"/>
        <v>12235</v>
      </c>
      <c r="AJ77" s="113">
        <f t="shared" si="22"/>
        <v>32774</v>
      </c>
      <c r="AK77" s="113">
        <f t="shared" si="22"/>
        <v>44823</v>
      </c>
      <c r="AL77" s="113">
        <f t="shared" si="22"/>
        <v>10842</v>
      </c>
      <c r="AM77" s="113">
        <f t="shared" si="22"/>
        <v>19477</v>
      </c>
      <c r="AN77" s="113">
        <f t="shared" si="22"/>
        <v>14314</v>
      </c>
      <c r="AO77" s="113">
        <f t="shared" si="22"/>
        <v>34069</v>
      </c>
      <c r="AP77" s="163"/>
    </row>
    <row r="78" spans="1:42" s="59" customFormat="1" x14ac:dyDescent="0.25">
      <c r="A78" s="184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328"/>
    </row>
    <row r="79" spans="1:42" s="117" customFormat="1" ht="15.75" x14ac:dyDescent="0.25">
      <c r="A79" s="189" t="s">
        <v>238</v>
      </c>
      <c r="B79" s="161"/>
      <c r="C79" s="161"/>
      <c r="D79" s="161"/>
      <c r="E79" s="161"/>
      <c r="F79" s="161"/>
      <c r="G79" s="161"/>
      <c r="H79" s="161"/>
      <c r="I79" s="161"/>
      <c r="J79" s="160"/>
      <c r="K79" s="161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3"/>
    </row>
    <row r="80" spans="1:42" x14ac:dyDescent="0.25">
      <c r="A80" s="183"/>
      <c r="B80" s="108"/>
      <c r="C80" s="108"/>
      <c r="D80" s="108"/>
      <c r="E80" s="108"/>
      <c r="F80" s="108"/>
      <c r="G80" s="108"/>
      <c r="H80" s="108"/>
      <c r="I80" s="108"/>
      <c r="J80" s="23"/>
      <c r="K80" s="108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2" s="30" customFormat="1" x14ac:dyDescent="0.25">
      <c r="A81" s="176" t="s">
        <v>272</v>
      </c>
      <c r="B81" s="29">
        <v>-27330</v>
      </c>
      <c r="C81" s="29">
        <v>-24568</v>
      </c>
      <c r="D81" s="29">
        <v>-16043</v>
      </c>
      <c r="E81" s="29">
        <v>-24428</v>
      </c>
      <c r="F81" s="29">
        <v>-34409</v>
      </c>
      <c r="G81" s="29">
        <v>-31376</v>
      </c>
      <c r="H81" s="29">
        <v>-51447</v>
      </c>
      <c r="I81" s="29">
        <v>-10847</v>
      </c>
      <c r="J81" s="122">
        <v>-15423.4</v>
      </c>
      <c r="K81" s="29">
        <v>-19334</v>
      </c>
      <c r="L81" s="122">
        <v>-14943</v>
      </c>
      <c r="M81" s="122">
        <v>-18565</v>
      </c>
      <c r="N81" s="122">
        <v>-14812</v>
      </c>
      <c r="O81" s="122">
        <v>-64031</v>
      </c>
      <c r="P81" s="122">
        <v>-8733</v>
      </c>
      <c r="Q81" s="122">
        <v>-54445</v>
      </c>
      <c r="R81" s="122">
        <v>-30605</v>
      </c>
      <c r="S81" s="122">
        <v>-71284</v>
      </c>
      <c r="T81" s="122">
        <v>-20399</v>
      </c>
      <c r="U81" s="122">
        <v>-7578</v>
      </c>
      <c r="V81" s="122">
        <v>-53093</v>
      </c>
      <c r="W81" s="122">
        <v>-13160</v>
      </c>
      <c r="X81" s="122">
        <v>-10908</v>
      </c>
      <c r="Y81" s="122">
        <v>-11917</v>
      </c>
      <c r="Z81" s="122">
        <v>-28532</v>
      </c>
      <c r="AA81" s="122">
        <v>-11101</v>
      </c>
      <c r="AB81" s="122">
        <v>-11160</v>
      </c>
      <c r="AC81" s="122">
        <v>-9885</v>
      </c>
      <c r="AD81" s="122" t="s">
        <v>32</v>
      </c>
      <c r="AE81" s="122" t="s">
        <v>32</v>
      </c>
      <c r="AF81" s="122" t="s">
        <v>32</v>
      </c>
      <c r="AG81" s="122" t="s">
        <v>32</v>
      </c>
      <c r="AH81" s="118" t="s">
        <v>32</v>
      </c>
      <c r="AI81" s="118" t="s">
        <v>32</v>
      </c>
      <c r="AJ81" s="118" t="s">
        <v>32</v>
      </c>
      <c r="AK81" s="118" t="s">
        <v>32</v>
      </c>
      <c r="AL81" s="118" t="s">
        <v>32</v>
      </c>
      <c r="AM81" s="118" t="s">
        <v>32</v>
      </c>
      <c r="AN81" s="118" t="s">
        <v>32</v>
      </c>
      <c r="AO81" s="118" t="s">
        <v>32</v>
      </c>
      <c r="AP81" s="33"/>
    </row>
    <row r="82" spans="1:42" x14ac:dyDescent="0.25">
      <c r="A82" s="180" t="s">
        <v>271</v>
      </c>
      <c r="B82" s="32">
        <v>-2620</v>
      </c>
      <c r="C82" s="32">
        <v>-2324</v>
      </c>
      <c r="D82" s="32">
        <v>-6728</v>
      </c>
      <c r="E82" s="32">
        <v>-2679</v>
      </c>
      <c r="F82" s="32">
        <v>-2788</v>
      </c>
      <c r="G82" s="32">
        <v>-2306</v>
      </c>
      <c r="H82" s="32">
        <v>-4930</v>
      </c>
      <c r="I82" s="32">
        <v>-2289</v>
      </c>
      <c r="J82" s="120">
        <v>-2515.1999999999998</v>
      </c>
      <c r="K82" s="32">
        <v>-2552</v>
      </c>
      <c r="L82" s="120">
        <v>-2098</v>
      </c>
      <c r="M82" s="120">
        <v>-1438</v>
      </c>
      <c r="N82" s="120">
        <v>-1600</v>
      </c>
      <c r="O82" s="120">
        <v>-1616</v>
      </c>
      <c r="P82" s="120">
        <v>-6935</v>
      </c>
      <c r="Q82" s="120">
        <v>-16638</v>
      </c>
      <c r="R82" s="120">
        <v>-19474</v>
      </c>
      <c r="S82" s="120">
        <v>-5896</v>
      </c>
      <c r="T82" s="120">
        <v>-3622</v>
      </c>
      <c r="U82" s="120">
        <v>-3753</v>
      </c>
      <c r="V82" s="120">
        <v>-23918</v>
      </c>
      <c r="W82" s="120">
        <v>-25676</v>
      </c>
      <c r="X82" s="120">
        <v>-1997</v>
      </c>
      <c r="Y82" s="120">
        <v>-5185</v>
      </c>
      <c r="Z82" s="120">
        <v>-23894</v>
      </c>
      <c r="AA82" s="120">
        <v>-5660</v>
      </c>
      <c r="AB82" s="120">
        <v>-8215</v>
      </c>
      <c r="AC82" s="120">
        <v>-4317</v>
      </c>
      <c r="AD82" s="120">
        <v>-20292</v>
      </c>
      <c r="AE82" s="120">
        <v>-11043</v>
      </c>
      <c r="AF82" s="120">
        <v>-13023</v>
      </c>
      <c r="AG82" s="120">
        <v>-9297</v>
      </c>
      <c r="AH82" s="120">
        <v>-27702</v>
      </c>
      <c r="AI82" s="120">
        <v>-9565</v>
      </c>
      <c r="AJ82" s="120">
        <v>-11571</v>
      </c>
      <c r="AK82" s="120">
        <v>-21562</v>
      </c>
      <c r="AL82" s="120">
        <v>-10841</v>
      </c>
      <c r="AM82" s="120">
        <v>-12801</v>
      </c>
      <c r="AN82" s="120">
        <v>-19301</v>
      </c>
      <c r="AO82" s="120">
        <v>-9560</v>
      </c>
    </row>
    <row r="83" spans="1:42" s="30" customFormat="1" x14ac:dyDescent="0.25">
      <c r="A83" s="176" t="s">
        <v>273</v>
      </c>
      <c r="B83" s="29">
        <v>-27326</v>
      </c>
      <c r="C83" s="29">
        <v>-20413</v>
      </c>
      <c r="D83" s="29">
        <v>-22660</v>
      </c>
      <c r="E83" s="29">
        <v>-20141</v>
      </c>
      <c r="F83" s="29">
        <v>-23304</v>
      </c>
      <c r="G83" s="29">
        <v>-18982</v>
      </c>
      <c r="H83" s="29">
        <v>-18492</v>
      </c>
      <c r="I83" s="29">
        <v>-20001</v>
      </c>
      <c r="J83" s="122">
        <v>-17024.09</v>
      </c>
      <c r="K83" s="29">
        <v>-15297</v>
      </c>
      <c r="L83" s="122">
        <f>-6628-8303</f>
        <v>-14931</v>
      </c>
      <c r="M83" s="122">
        <v>-15493</v>
      </c>
      <c r="N83" s="122">
        <v>-13521</v>
      </c>
      <c r="O83" s="122">
        <v>-14553</v>
      </c>
      <c r="P83" s="122">
        <v>-15187</v>
      </c>
      <c r="Q83" s="122">
        <v>-14750</v>
      </c>
      <c r="R83" s="122">
        <v>-10169</v>
      </c>
      <c r="S83" s="122">
        <v>-9459</v>
      </c>
      <c r="T83" s="122">
        <v>-10780</v>
      </c>
      <c r="U83" s="122">
        <v>-19440</v>
      </c>
      <c r="V83" s="122">
        <v>-11975</v>
      </c>
      <c r="W83" s="122">
        <v>-10652</v>
      </c>
      <c r="X83" s="122">
        <v>-11389</v>
      </c>
      <c r="Y83" s="122">
        <v>-10621</v>
      </c>
      <c r="Z83" s="122">
        <v>-27363</v>
      </c>
      <c r="AA83" s="122">
        <v>-8325</v>
      </c>
      <c r="AB83" s="122">
        <v>-10278</v>
      </c>
      <c r="AC83" s="122">
        <v>-11018</v>
      </c>
      <c r="AD83" s="122">
        <v>-7493</v>
      </c>
      <c r="AE83" s="122">
        <v>-6015</v>
      </c>
      <c r="AF83" s="122">
        <v>-4321</v>
      </c>
      <c r="AG83" s="122">
        <v>-10234</v>
      </c>
      <c r="AH83" s="122">
        <v>-5534</v>
      </c>
      <c r="AI83" s="122">
        <v>-3274</v>
      </c>
      <c r="AJ83" s="122">
        <v>-3623</v>
      </c>
      <c r="AK83" s="122">
        <v>-6797</v>
      </c>
      <c r="AL83" s="122">
        <v>-2019</v>
      </c>
      <c r="AM83" s="122">
        <v>-3645</v>
      </c>
      <c r="AN83" s="122">
        <v>-2120</v>
      </c>
      <c r="AO83" s="122">
        <v>-3099</v>
      </c>
      <c r="AP83" s="33"/>
    </row>
    <row r="84" spans="1:42" x14ac:dyDescent="0.25">
      <c r="A84" s="180"/>
      <c r="B84" s="32"/>
      <c r="C84" s="32"/>
      <c r="D84" s="32"/>
      <c r="E84" s="32"/>
      <c r="F84" s="32"/>
      <c r="G84" s="32"/>
      <c r="H84" s="32"/>
      <c r="I84" s="32"/>
      <c r="J84" s="120"/>
      <c r="K84" s="32"/>
      <c r="L84" s="120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</row>
    <row r="85" spans="1:42" s="117" customFormat="1" ht="15.75" x14ac:dyDescent="0.25">
      <c r="A85" s="191" t="s">
        <v>280</v>
      </c>
      <c r="B85" s="113">
        <f>SUM(B81:B84)</f>
        <v>-57276</v>
      </c>
      <c r="C85" s="113">
        <f t="shared" ref="C85:H85" si="23">SUM(C81:C84)</f>
        <v>-47305</v>
      </c>
      <c r="D85" s="113">
        <f t="shared" si="23"/>
        <v>-45431</v>
      </c>
      <c r="E85" s="113">
        <f t="shared" si="23"/>
        <v>-47248</v>
      </c>
      <c r="F85" s="113">
        <f t="shared" si="23"/>
        <v>-60501</v>
      </c>
      <c r="G85" s="113">
        <f t="shared" si="23"/>
        <v>-52664</v>
      </c>
      <c r="H85" s="113">
        <f t="shared" si="23"/>
        <v>-74869</v>
      </c>
      <c r="I85" s="113">
        <f t="shared" ref="I85:AO85" si="24">SUM(I81:I84)</f>
        <v>-33137</v>
      </c>
      <c r="J85" s="113">
        <f t="shared" si="24"/>
        <v>-34962.69</v>
      </c>
      <c r="K85" s="113">
        <f t="shared" si="24"/>
        <v>-37183</v>
      </c>
      <c r="L85" s="113">
        <f t="shared" si="24"/>
        <v>-31972</v>
      </c>
      <c r="M85" s="113">
        <f t="shared" si="24"/>
        <v>-35496</v>
      </c>
      <c r="N85" s="113">
        <f t="shared" si="24"/>
        <v>-29933</v>
      </c>
      <c r="O85" s="113">
        <f t="shared" si="24"/>
        <v>-80200</v>
      </c>
      <c r="P85" s="113">
        <f t="shared" si="24"/>
        <v>-30855</v>
      </c>
      <c r="Q85" s="113">
        <f t="shared" si="24"/>
        <v>-85833</v>
      </c>
      <c r="R85" s="113">
        <f t="shared" si="24"/>
        <v>-60248</v>
      </c>
      <c r="S85" s="113">
        <f t="shared" si="24"/>
        <v>-86639</v>
      </c>
      <c r="T85" s="113">
        <f t="shared" si="24"/>
        <v>-34801</v>
      </c>
      <c r="U85" s="113">
        <f t="shared" si="24"/>
        <v>-30771</v>
      </c>
      <c r="V85" s="113">
        <f t="shared" si="24"/>
        <v>-88986</v>
      </c>
      <c r="W85" s="113">
        <f t="shared" si="24"/>
        <v>-49488</v>
      </c>
      <c r="X85" s="113">
        <f t="shared" si="24"/>
        <v>-24294</v>
      </c>
      <c r="Y85" s="113">
        <f t="shared" si="24"/>
        <v>-27723</v>
      </c>
      <c r="Z85" s="113">
        <f t="shared" si="24"/>
        <v>-79789</v>
      </c>
      <c r="AA85" s="113">
        <f t="shared" si="24"/>
        <v>-25086</v>
      </c>
      <c r="AB85" s="113">
        <f t="shared" si="24"/>
        <v>-29653</v>
      </c>
      <c r="AC85" s="113">
        <f t="shared" si="24"/>
        <v>-25220</v>
      </c>
      <c r="AD85" s="113">
        <f t="shared" si="24"/>
        <v>-27785</v>
      </c>
      <c r="AE85" s="113">
        <f t="shared" si="24"/>
        <v>-17058</v>
      </c>
      <c r="AF85" s="113">
        <f t="shared" si="24"/>
        <v>-17344</v>
      </c>
      <c r="AG85" s="113">
        <f>SUM(AG81:AG84)</f>
        <v>-19531</v>
      </c>
      <c r="AH85" s="113">
        <f t="shared" si="24"/>
        <v>-33236</v>
      </c>
      <c r="AI85" s="113">
        <f t="shared" si="24"/>
        <v>-12839</v>
      </c>
      <c r="AJ85" s="113">
        <f t="shared" si="24"/>
        <v>-15194</v>
      </c>
      <c r="AK85" s="113">
        <f t="shared" si="24"/>
        <v>-28359</v>
      </c>
      <c r="AL85" s="113">
        <f t="shared" si="24"/>
        <v>-12860</v>
      </c>
      <c r="AM85" s="113">
        <f t="shared" si="24"/>
        <v>-16446</v>
      </c>
      <c r="AN85" s="113">
        <f t="shared" si="24"/>
        <v>-21421</v>
      </c>
      <c r="AO85" s="113">
        <f t="shared" si="24"/>
        <v>-12659</v>
      </c>
      <c r="AP85" s="163"/>
    </row>
    <row r="86" spans="1:42" s="30" customFormat="1" x14ac:dyDescent="0.25">
      <c r="A86" s="186"/>
      <c r="B86" s="109"/>
      <c r="C86" s="109"/>
      <c r="D86" s="109"/>
      <c r="E86" s="109"/>
      <c r="F86" s="109"/>
      <c r="G86" s="109"/>
      <c r="H86" s="109"/>
      <c r="I86" s="109"/>
      <c r="J86" s="12"/>
      <c r="K86" s="10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33"/>
    </row>
    <row r="87" spans="1:42" x14ac:dyDescent="0.25">
      <c r="A87" s="180" t="s">
        <v>74</v>
      </c>
      <c r="B87" s="32">
        <v>-17356.75</v>
      </c>
      <c r="C87" s="32">
        <v>-15213.25</v>
      </c>
      <c r="D87" s="32">
        <v>-9269</v>
      </c>
      <c r="E87" s="32">
        <v>-10186</v>
      </c>
      <c r="F87" s="32">
        <f>F22</f>
        <v>-16331</v>
      </c>
      <c r="G87" s="32">
        <v>-12222</v>
      </c>
      <c r="H87" s="32">
        <v>-7519</v>
      </c>
      <c r="I87" s="32">
        <v>-11827</v>
      </c>
      <c r="J87" s="120">
        <v>-11536</v>
      </c>
      <c r="K87" s="32">
        <v>-7999</v>
      </c>
      <c r="L87" s="120">
        <v>-6977</v>
      </c>
      <c r="M87" s="120">
        <v>-10401</v>
      </c>
      <c r="N87" s="120">
        <v>-9761</v>
      </c>
      <c r="O87" s="120">
        <v>-9424</v>
      </c>
      <c r="P87" s="120">
        <v>-6961</v>
      </c>
      <c r="Q87" s="120">
        <v>-9090</v>
      </c>
      <c r="R87" s="120">
        <v>-8266</v>
      </c>
      <c r="S87" s="120">
        <v>-6865</v>
      </c>
      <c r="T87" s="120">
        <v>-9887</v>
      </c>
      <c r="U87" s="120">
        <v>-2155</v>
      </c>
      <c r="V87" s="120">
        <v>1565</v>
      </c>
      <c r="W87" s="119">
        <v>392</v>
      </c>
      <c r="X87" s="119">
        <v>-639</v>
      </c>
      <c r="Y87" s="120">
        <v>-1318</v>
      </c>
      <c r="Z87" s="120">
        <v>-2793</v>
      </c>
      <c r="AA87" s="120">
        <v>-5631</v>
      </c>
      <c r="AB87" s="120">
        <v>-4765</v>
      </c>
      <c r="AC87" s="120">
        <v>-6628</v>
      </c>
      <c r="AD87" s="120">
        <v>-11061</v>
      </c>
      <c r="AE87" s="120">
        <v>-8224</v>
      </c>
      <c r="AF87" s="120">
        <v>-5480</v>
      </c>
      <c r="AG87" s="120">
        <v>-7905</v>
      </c>
      <c r="AH87" s="120">
        <v>-5342</v>
      </c>
      <c r="AI87" s="120">
        <v>-7808</v>
      </c>
      <c r="AJ87" s="120">
        <v>-6777</v>
      </c>
      <c r="AK87" s="120">
        <v>-7685</v>
      </c>
      <c r="AL87" s="120">
        <v>-4897</v>
      </c>
      <c r="AM87" s="120">
        <v>-8353</v>
      </c>
      <c r="AN87" s="120">
        <v>-7323</v>
      </c>
      <c r="AO87" s="120">
        <v>-7744</v>
      </c>
    </row>
    <row r="88" spans="1:42" s="30" customFormat="1" x14ac:dyDescent="0.25">
      <c r="A88" s="176" t="s">
        <v>281</v>
      </c>
      <c r="B88" s="29">
        <v>2241</v>
      </c>
      <c r="C88" s="29">
        <v>-3802</v>
      </c>
      <c r="D88" s="29">
        <v>-2042</v>
      </c>
      <c r="E88" s="29">
        <f>E23</f>
        <v>-8984</v>
      </c>
      <c r="F88" s="29">
        <f>F23</f>
        <v>-3373</v>
      </c>
      <c r="G88" s="29">
        <v>-4332</v>
      </c>
      <c r="H88" s="29">
        <v>-1710</v>
      </c>
      <c r="I88" s="29">
        <v>-3357</v>
      </c>
      <c r="J88" s="122">
        <v>-4662</v>
      </c>
      <c r="K88" s="29">
        <v>-4565.3999999999996</v>
      </c>
      <c r="L88" s="122">
        <v>-2580</v>
      </c>
      <c r="M88" s="122">
        <v>-1191</v>
      </c>
      <c r="N88" s="122">
        <v>-1785</v>
      </c>
      <c r="O88" s="122">
        <v>-2204</v>
      </c>
      <c r="P88" s="122">
        <v>-2125</v>
      </c>
      <c r="Q88" s="122">
        <v>-1292</v>
      </c>
      <c r="R88" s="118">
        <v>-215</v>
      </c>
      <c r="S88" s="118">
        <v>-486</v>
      </c>
      <c r="T88" s="122">
        <v>-3802</v>
      </c>
      <c r="U88" s="118">
        <v>-163</v>
      </c>
      <c r="V88" s="122">
        <v>-1267</v>
      </c>
      <c r="W88" s="118">
        <v>270</v>
      </c>
      <c r="X88" s="122">
        <v>2506</v>
      </c>
      <c r="Y88" s="122">
        <v>-2409</v>
      </c>
      <c r="Z88" s="118">
        <v>-588</v>
      </c>
      <c r="AA88" s="122">
        <v>-4468</v>
      </c>
      <c r="AB88" s="122">
        <v>-1867</v>
      </c>
      <c r="AC88" s="122">
        <v>-2502</v>
      </c>
      <c r="AD88" s="122">
        <v>4575</v>
      </c>
      <c r="AE88" s="122">
        <v>-3098</v>
      </c>
      <c r="AF88" s="122">
        <v>-4688</v>
      </c>
      <c r="AG88" s="122">
        <v>-3966</v>
      </c>
      <c r="AH88" s="122">
        <v>-3778</v>
      </c>
      <c r="AI88" s="122">
        <v>-4468</v>
      </c>
      <c r="AJ88" s="122">
        <v>-2941</v>
      </c>
      <c r="AK88" s="122">
        <v>-2132</v>
      </c>
      <c r="AL88" s="122">
        <v>-6098</v>
      </c>
      <c r="AM88" s="122">
        <v>-4158</v>
      </c>
      <c r="AN88" s="122">
        <v>-3880</v>
      </c>
      <c r="AO88" s="122">
        <v>-4401</v>
      </c>
      <c r="AP88" s="33"/>
    </row>
    <row r="89" spans="1:42" x14ac:dyDescent="0.25">
      <c r="A89" s="182"/>
      <c r="B89" s="175"/>
      <c r="C89" s="175"/>
      <c r="D89" s="175"/>
      <c r="E89" s="175"/>
      <c r="F89" s="175"/>
      <c r="G89" s="175"/>
      <c r="H89" s="175"/>
      <c r="I89" s="175"/>
      <c r="J89" s="181"/>
      <c r="K89" s="175"/>
      <c r="L89" s="181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</row>
    <row r="90" spans="1:42" s="117" customFormat="1" ht="15.75" x14ac:dyDescent="0.25">
      <c r="A90" s="189" t="s">
        <v>277</v>
      </c>
      <c r="B90" s="158"/>
      <c r="C90" s="158"/>
      <c r="D90" s="158"/>
      <c r="E90" s="158"/>
      <c r="F90" s="158"/>
      <c r="G90" s="158"/>
      <c r="H90" s="158"/>
      <c r="I90" s="158"/>
      <c r="J90" s="159"/>
      <c r="K90" s="158"/>
      <c r="L90" s="159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3"/>
    </row>
    <row r="91" spans="1:42" s="30" customFormat="1" x14ac:dyDescent="0.25">
      <c r="A91" s="171"/>
      <c r="B91" s="102"/>
      <c r="C91" s="102"/>
      <c r="D91" s="102"/>
      <c r="E91" s="102"/>
      <c r="F91" s="102"/>
      <c r="G91" s="102"/>
      <c r="H91" s="102"/>
      <c r="I91" s="102"/>
      <c r="J91" s="103"/>
      <c r="K91" s="102"/>
      <c r="L91" s="103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33"/>
    </row>
    <row r="92" spans="1:42" x14ac:dyDescent="0.25">
      <c r="A92" s="180" t="s">
        <v>282</v>
      </c>
      <c r="B92" s="32">
        <v>1829</v>
      </c>
      <c r="C92" s="32">
        <v>619</v>
      </c>
      <c r="D92" s="32">
        <v>880</v>
      </c>
      <c r="E92" s="32">
        <v>970</v>
      </c>
      <c r="F92" s="32">
        <v>1310</v>
      </c>
      <c r="G92" s="32">
        <v>2997</v>
      </c>
      <c r="H92" s="32">
        <v>1344</v>
      </c>
      <c r="I92" s="32">
        <v>1340</v>
      </c>
      <c r="J92" s="120">
        <v>1930</v>
      </c>
      <c r="K92" s="32">
        <v>1400</v>
      </c>
      <c r="L92" s="120">
        <v>1541</v>
      </c>
      <c r="M92" s="120">
        <v>1523</v>
      </c>
      <c r="N92" s="120">
        <v>3455</v>
      </c>
      <c r="O92" s="120">
        <v>2157</v>
      </c>
      <c r="P92" s="120">
        <v>2844</v>
      </c>
      <c r="Q92" s="120">
        <v>3369</v>
      </c>
      <c r="R92" s="120">
        <v>3984</v>
      </c>
      <c r="S92" s="120">
        <v>7303</v>
      </c>
      <c r="T92" s="120">
        <v>4267</v>
      </c>
      <c r="U92" s="120">
        <v>4370</v>
      </c>
      <c r="V92" s="120">
        <v>6310</v>
      </c>
      <c r="W92" s="120">
        <v>4260</v>
      </c>
      <c r="X92" s="120">
        <v>3602</v>
      </c>
      <c r="Y92" s="120">
        <v>3263</v>
      </c>
      <c r="Z92" s="120">
        <v>1053</v>
      </c>
      <c r="AA92" s="120">
        <v>6976</v>
      </c>
      <c r="AB92" s="120">
        <v>3912</v>
      </c>
      <c r="AC92" s="120">
        <v>3163</v>
      </c>
      <c r="AD92" s="120">
        <v>4409</v>
      </c>
      <c r="AE92" s="120">
        <v>1784</v>
      </c>
      <c r="AF92" s="120">
        <v>4462</v>
      </c>
      <c r="AG92" s="120">
        <v>3546</v>
      </c>
      <c r="AH92" s="120">
        <v>13157</v>
      </c>
      <c r="AI92" s="120">
        <v>24015</v>
      </c>
      <c r="AJ92" s="120">
        <v>3578</v>
      </c>
      <c r="AK92" s="120">
        <v>10896</v>
      </c>
      <c r="AL92" s="120">
        <v>4550</v>
      </c>
      <c r="AM92" s="120">
        <v>6609</v>
      </c>
      <c r="AN92" s="120">
        <v>9634</v>
      </c>
      <c r="AO92" s="120">
        <v>6726</v>
      </c>
    </row>
    <row r="93" spans="1:42" s="30" customFormat="1" x14ac:dyDescent="0.25">
      <c r="A93" s="176" t="s">
        <v>283</v>
      </c>
      <c r="B93" s="29">
        <v>-10996</v>
      </c>
      <c r="C93" s="29">
        <v>4957</v>
      </c>
      <c r="D93" s="29">
        <v>5516</v>
      </c>
      <c r="E93" s="29">
        <v>26918</v>
      </c>
      <c r="F93" s="29">
        <v>2578</v>
      </c>
      <c r="G93" s="29">
        <v>1220</v>
      </c>
      <c r="H93" s="29">
        <v>1237</v>
      </c>
      <c r="I93" s="29">
        <v>4237</v>
      </c>
      <c r="J93" s="122">
        <v>-3321</v>
      </c>
      <c r="K93" s="29">
        <v>3506</v>
      </c>
      <c r="L93" s="122">
        <v>11386</v>
      </c>
      <c r="M93" s="118">
        <v>360</v>
      </c>
      <c r="N93" s="122">
        <v>-1128</v>
      </c>
      <c r="O93" s="122">
        <v>1253</v>
      </c>
      <c r="P93" s="122">
        <v>-4603</v>
      </c>
      <c r="Q93" s="122">
        <v>5518</v>
      </c>
      <c r="R93" s="122">
        <v>14030</v>
      </c>
      <c r="S93" s="122">
        <v>-7830</v>
      </c>
      <c r="T93" s="122">
        <v>44845</v>
      </c>
      <c r="U93" s="122">
        <v>22407</v>
      </c>
      <c r="V93" s="122">
        <v>-1559</v>
      </c>
      <c r="W93" s="122">
        <v>17921</v>
      </c>
      <c r="X93" s="122">
        <v>-2689</v>
      </c>
      <c r="Y93" s="122">
        <v>11484</v>
      </c>
      <c r="Z93" s="118">
        <v>-409</v>
      </c>
      <c r="AA93" s="122">
        <v>-6103</v>
      </c>
      <c r="AB93" s="122">
        <v>5508</v>
      </c>
      <c r="AC93" s="122">
        <v>7666</v>
      </c>
      <c r="AD93" s="122" t="s">
        <v>32</v>
      </c>
      <c r="AE93" s="122" t="s">
        <v>32</v>
      </c>
      <c r="AF93" s="122" t="s">
        <v>32</v>
      </c>
      <c r="AG93" s="122" t="s">
        <v>32</v>
      </c>
      <c r="AH93" s="118" t="s">
        <v>32</v>
      </c>
      <c r="AI93" s="118" t="s">
        <v>32</v>
      </c>
      <c r="AJ93" s="118" t="s">
        <v>32</v>
      </c>
      <c r="AK93" s="118" t="s">
        <v>32</v>
      </c>
      <c r="AL93" s="118" t="s">
        <v>32</v>
      </c>
      <c r="AM93" s="118" t="s">
        <v>32</v>
      </c>
      <c r="AN93" s="118" t="s">
        <v>32</v>
      </c>
      <c r="AO93" s="118" t="s">
        <v>32</v>
      </c>
      <c r="AP93" s="33"/>
    </row>
    <row r="94" spans="1:42" x14ac:dyDescent="0.25">
      <c r="A94" s="180" t="s">
        <v>284</v>
      </c>
      <c r="B94" s="32">
        <v>11029</v>
      </c>
      <c r="C94" s="32">
        <v>8872</v>
      </c>
      <c r="D94" s="32">
        <v>14176</v>
      </c>
      <c r="E94" s="32">
        <v>9193</v>
      </c>
      <c r="F94" s="32">
        <v>10261</v>
      </c>
      <c r="G94" s="32">
        <v>9747</v>
      </c>
      <c r="H94" s="32">
        <v>11069</v>
      </c>
      <c r="I94" s="32">
        <v>3251</v>
      </c>
      <c r="J94" s="120">
        <v>6726</v>
      </c>
      <c r="K94" s="32">
        <v>6750</v>
      </c>
      <c r="L94" s="120">
        <v>4309</v>
      </c>
      <c r="M94" s="120">
        <v>4765</v>
      </c>
      <c r="N94" s="120">
        <v>5064</v>
      </c>
      <c r="O94" s="120">
        <v>5848</v>
      </c>
      <c r="P94" s="120">
        <v>6809</v>
      </c>
      <c r="Q94" s="120">
        <v>4885</v>
      </c>
      <c r="R94" s="120">
        <v>1068</v>
      </c>
      <c r="S94" s="120">
        <v>11134</v>
      </c>
      <c r="T94" s="120">
        <v>9223</v>
      </c>
      <c r="U94" s="120">
        <v>1763</v>
      </c>
      <c r="V94" s="120">
        <v>2560</v>
      </c>
      <c r="W94" s="120">
        <v>1024</v>
      </c>
      <c r="X94" s="119">
        <v>228</v>
      </c>
      <c r="Y94" s="120">
        <v>1379</v>
      </c>
      <c r="Z94" s="120">
        <v>6054</v>
      </c>
      <c r="AA94" s="120">
        <v>1392</v>
      </c>
      <c r="AB94" s="120">
        <v>1363</v>
      </c>
      <c r="AC94" s="120">
        <v>1085</v>
      </c>
      <c r="AD94" s="120">
        <v>248</v>
      </c>
      <c r="AE94" s="120">
        <v>2175</v>
      </c>
      <c r="AF94" s="120">
        <v>3403</v>
      </c>
      <c r="AG94" s="120">
        <v>4082</v>
      </c>
      <c r="AH94" s="120">
        <v>3342</v>
      </c>
      <c r="AI94" s="120">
        <v>8481</v>
      </c>
      <c r="AJ94" s="120">
        <v>4153</v>
      </c>
      <c r="AK94" s="120">
        <v>5721</v>
      </c>
      <c r="AL94" s="120">
        <v>4919</v>
      </c>
      <c r="AM94" s="120">
        <v>6002</v>
      </c>
      <c r="AN94" s="120">
        <v>8007</v>
      </c>
      <c r="AO94" s="120">
        <v>6613</v>
      </c>
    </row>
    <row r="95" spans="1:42" s="30" customFormat="1" x14ac:dyDescent="0.25">
      <c r="A95" s="176" t="s">
        <v>285</v>
      </c>
      <c r="B95" s="29">
        <v>4936</v>
      </c>
      <c r="C95" s="29">
        <v>5510</v>
      </c>
      <c r="D95" s="29">
        <v>6218</v>
      </c>
      <c r="E95" s="29">
        <v>6550</v>
      </c>
      <c r="F95" s="29">
        <v>6942</v>
      </c>
      <c r="G95" s="29">
        <v>7199</v>
      </c>
      <c r="H95" s="29">
        <v>4781</v>
      </c>
      <c r="I95" s="29">
        <v>6563</v>
      </c>
      <c r="J95" s="122">
        <v>6810</v>
      </c>
      <c r="K95" s="29">
        <v>8420</v>
      </c>
      <c r="L95" s="122">
        <v>5714</v>
      </c>
      <c r="M95" s="122">
        <v>8670</v>
      </c>
      <c r="N95" s="122">
        <v>10064</v>
      </c>
      <c r="O95" s="122">
        <v>14023</v>
      </c>
      <c r="P95" s="122">
        <v>15281</v>
      </c>
      <c r="Q95" s="122">
        <v>18598</v>
      </c>
      <c r="R95" s="122">
        <v>19550</v>
      </c>
      <c r="S95" s="122">
        <v>14457</v>
      </c>
      <c r="T95" s="122">
        <v>12693</v>
      </c>
      <c r="U95" s="122">
        <v>12953</v>
      </c>
      <c r="V95" s="122">
        <v>20905</v>
      </c>
      <c r="W95" s="122">
        <v>14965</v>
      </c>
      <c r="X95" s="122">
        <v>9518</v>
      </c>
      <c r="Y95" s="122">
        <v>8183</v>
      </c>
      <c r="Z95" s="122">
        <v>5668</v>
      </c>
      <c r="AA95" s="122">
        <v>7324</v>
      </c>
      <c r="AB95" s="122">
        <v>7901</v>
      </c>
      <c r="AC95" s="122">
        <v>7588</v>
      </c>
      <c r="AD95" s="122">
        <v>7450</v>
      </c>
      <c r="AE95" s="122">
        <v>9949</v>
      </c>
      <c r="AF95" s="122">
        <v>9951</v>
      </c>
      <c r="AG95" s="122">
        <v>10251</v>
      </c>
      <c r="AH95" s="122">
        <v>8827</v>
      </c>
      <c r="AI95" s="122">
        <v>8288</v>
      </c>
      <c r="AJ95" s="122">
        <v>13269</v>
      </c>
      <c r="AK95" s="122">
        <v>10273</v>
      </c>
      <c r="AL95" s="122">
        <v>12376</v>
      </c>
      <c r="AM95" s="122">
        <v>7288</v>
      </c>
      <c r="AN95" s="122">
        <v>3746</v>
      </c>
      <c r="AO95" s="122">
        <v>3668</v>
      </c>
      <c r="AP95" s="33"/>
    </row>
    <row r="96" spans="1:42" x14ac:dyDescent="0.25">
      <c r="A96" s="180" t="s">
        <v>286</v>
      </c>
      <c r="B96" s="32">
        <v>10386</v>
      </c>
      <c r="C96" s="32">
        <v>15597</v>
      </c>
      <c r="D96" s="32">
        <v>14221</v>
      </c>
      <c r="E96" s="32">
        <v>8581</v>
      </c>
      <c r="F96" s="32">
        <v>14017</v>
      </c>
      <c r="G96" s="32">
        <v>7485</v>
      </c>
      <c r="H96" s="32">
        <v>11236</v>
      </c>
      <c r="I96" s="32">
        <v>6733</v>
      </c>
      <c r="J96" s="120">
        <v>10369</v>
      </c>
      <c r="K96" s="32">
        <v>21639</v>
      </c>
      <c r="L96" s="120">
        <v>8715</v>
      </c>
      <c r="M96" s="120">
        <v>5350</v>
      </c>
      <c r="N96" s="120">
        <v>6243</v>
      </c>
      <c r="O96" s="120">
        <v>5277</v>
      </c>
      <c r="P96" s="120">
        <v>23030</v>
      </c>
      <c r="Q96" s="120">
        <v>4157</v>
      </c>
      <c r="R96" s="120">
        <v>14016</v>
      </c>
      <c r="S96" s="120">
        <v>3969</v>
      </c>
      <c r="T96" s="120">
        <v>2514</v>
      </c>
      <c r="U96" s="120">
        <v>5534</v>
      </c>
      <c r="V96" s="120">
        <v>4776</v>
      </c>
      <c r="W96" s="120">
        <v>4363</v>
      </c>
      <c r="X96" s="120">
        <v>4786</v>
      </c>
      <c r="Y96" s="120">
        <v>6276</v>
      </c>
      <c r="Z96" s="120">
        <v>5688</v>
      </c>
      <c r="AA96" s="120">
        <v>2263</v>
      </c>
      <c r="AB96" s="120">
        <v>6161</v>
      </c>
      <c r="AC96" s="120">
        <v>3422</v>
      </c>
      <c r="AD96" s="120">
        <v>4037</v>
      </c>
      <c r="AE96" s="120">
        <v>11655</v>
      </c>
      <c r="AF96" s="120">
        <v>4057</v>
      </c>
      <c r="AG96" s="120">
        <v>4376</v>
      </c>
      <c r="AH96" s="120">
        <v>4383</v>
      </c>
      <c r="AI96" s="120">
        <v>5756</v>
      </c>
      <c r="AJ96" s="120">
        <v>7297</v>
      </c>
      <c r="AK96" s="120">
        <v>3281</v>
      </c>
      <c r="AL96" s="120">
        <v>4722</v>
      </c>
      <c r="AM96" s="120">
        <v>4740</v>
      </c>
      <c r="AN96" s="120">
        <v>3461</v>
      </c>
      <c r="AO96" s="120">
        <v>3272</v>
      </c>
    </row>
    <row r="97" spans="1:42" s="30" customFormat="1" x14ac:dyDescent="0.25">
      <c r="A97" s="124"/>
      <c r="B97" s="177"/>
      <c r="C97" s="177"/>
      <c r="D97" s="177"/>
      <c r="E97" s="177"/>
      <c r="F97" s="177"/>
      <c r="G97" s="177"/>
      <c r="H97" s="177"/>
      <c r="I97" s="177"/>
      <c r="J97" s="178"/>
      <c r="K97" s="177"/>
      <c r="L97" s="17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33"/>
    </row>
    <row r="98" spans="1:42" s="117" customFormat="1" ht="15.75" x14ac:dyDescent="0.25">
      <c r="A98" s="189" t="s">
        <v>278</v>
      </c>
      <c r="B98" s="113">
        <f t="shared" ref="B98:H98" si="25">SUM(B92:B97)</f>
        <v>17184</v>
      </c>
      <c r="C98" s="113">
        <f t="shared" si="25"/>
        <v>35555</v>
      </c>
      <c r="D98" s="113">
        <f t="shared" si="25"/>
        <v>41011</v>
      </c>
      <c r="E98" s="113">
        <f t="shared" si="25"/>
        <v>52212</v>
      </c>
      <c r="F98" s="113">
        <f t="shared" si="25"/>
        <v>35108</v>
      </c>
      <c r="G98" s="113">
        <f t="shared" si="25"/>
        <v>28648</v>
      </c>
      <c r="H98" s="113">
        <f t="shared" si="25"/>
        <v>29667</v>
      </c>
      <c r="I98" s="113">
        <f t="shared" ref="I98:AO98" si="26">SUM(I92:I97)</f>
        <v>22124</v>
      </c>
      <c r="J98" s="113">
        <f t="shared" si="26"/>
        <v>22514</v>
      </c>
      <c r="K98" s="113">
        <f t="shared" si="26"/>
        <v>41715</v>
      </c>
      <c r="L98" s="113">
        <f t="shared" si="26"/>
        <v>31665</v>
      </c>
      <c r="M98" s="113">
        <f t="shared" si="26"/>
        <v>20668</v>
      </c>
      <c r="N98" s="113">
        <f t="shared" si="26"/>
        <v>23698</v>
      </c>
      <c r="O98" s="113">
        <f t="shared" si="26"/>
        <v>28558</v>
      </c>
      <c r="P98" s="113">
        <f t="shared" si="26"/>
        <v>43361</v>
      </c>
      <c r="Q98" s="113">
        <f t="shared" si="26"/>
        <v>36527</v>
      </c>
      <c r="R98" s="113">
        <f t="shared" si="26"/>
        <v>52648</v>
      </c>
      <c r="S98" s="113">
        <f t="shared" si="26"/>
        <v>29033</v>
      </c>
      <c r="T98" s="113">
        <f t="shared" si="26"/>
        <v>73542</v>
      </c>
      <c r="U98" s="113">
        <f t="shared" si="26"/>
        <v>47027</v>
      </c>
      <c r="V98" s="113">
        <f t="shared" si="26"/>
        <v>32992</v>
      </c>
      <c r="W98" s="113">
        <f t="shared" si="26"/>
        <v>42533</v>
      </c>
      <c r="X98" s="113">
        <f t="shared" si="26"/>
        <v>15445</v>
      </c>
      <c r="Y98" s="113">
        <f t="shared" si="26"/>
        <v>30585</v>
      </c>
      <c r="Z98" s="113">
        <f t="shared" si="26"/>
        <v>18054</v>
      </c>
      <c r="AA98" s="113">
        <f t="shared" si="26"/>
        <v>11852</v>
      </c>
      <c r="AB98" s="113">
        <f t="shared" si="26"/>
        <v>24845</v>
      </c>
      <c r="AC98" s="113">
        <f t="shared" si="26"/>
        <v>22924</v>
      </c>
      <c r="AD98" s="113">
        <f t="shared" si="26"/>
        <v>16144</v>
      </c>
      <c r="AE98" s="113">
        <f t="shared" si="26"/>
        <v>25563</v>
      </c>
      <c r="AF98" s="113">
        <f t="shared" si="26"/>
        <v>21873</v>
      </c>
      <c r="AG98" s="113">
        <f t="shared" si="26"/>
        <v>22255</v>
      </c>
      <c r="AH98" s="113">
        <f t="shared" si="26"/>
        <v>29709</v>
      </c>
      <c r="AI98" s="113">
        <f t="shared" si="26"/>
        <v>46540</v>
      </c>
      <c r="AJ98" s="113">
        <f t="shared" si="26"/>
        <v>28297</v>
      </c>
      <c r="AK98" s="113">
        <f t="shared" si="26"/>
        <v>30171</v>
      </c>
      <c r="AL98" s="113">
        <f t="shared" si="26"/>
        <v>26567</v>
      </c>
      <c r="AM98" s="113">
        <f t="shared" si="26"/>
        <v>24639</v>
      </c>
      <c r="AN98" s="113">
        <f t="shared" si="26"/>
        <v>24848</v>
      </c>
      <c r="AO98" s="113">
        <f t="shared" si="26"/>
        <v>20279</v>
      </c>
      <c r="AP98" s="163"/>
    </row>
    <row r="99" spans="1:42" x14ac:dyDescent="0.25">
      <c r="A99" s="180"/>
      <c r="B99" s="175"/>
      <c r="C99" s="175"/>
      <c r="D99" s="175"/>
      <c r="E99" s="175"/>
      <c r="F99" s="175"/>
      <c r="G99" s="175"/>
      <c r="H99" s="175"/>
      <c r="I99" s="175"/>
      <c r="J99" s="181"/>
      <c r="K99" s="175"/>
      <c r="L99" s="181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</row>
    <row r="100" spans="1:42" s="170" customFormat="1" ht="15.75" x14ac:dyDescent="0.25">
      <c r="A100" s="192" t="s">
        <v>279</v>
      </c>
      <c r="B100" s="158"/>
      <c r="C100" s="158"/>
      <c r="D100" s="158"/>
      <c r="E100" s="158"/>
      <c r="F100" s="158"/>
      <c r="G100" s="158"/>
      <c r="H100" s="158"/>
      <c r="I100" s="158"/>
      <c r="J100" s="159"/>
      <c r="K100" s="158"/>
      <c r="L100" s="159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329"/>
    </row>
    <row r="101" spans="1:42" s="10" customFormat="1" x14ac:dyDescent="0.25">
      <c r="A101" s="186"/>
      <c r="B101" s="102"/>
      <c r="C101" s="102"/>
      <c r="D101" s="102"/>
      <c r="E101" s="102"/>
      <c r="F101" s="102"/>
      <c r="G101" s="102"/>
      <c r="H101" s="102"/>
      <c r="I101" s="102"/>
      <c r="J101" s="103"/>
      <c r="K101" s="102"/>
      <c r="L101" s="103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3"/>
    </row>
    <row r="102" spans="1:42" x14ac:dyDescent="0.25">
      <c r="A102" s="180" t="s">
        <v>282</v>
      </c>
      <c r="B102" s="32">
        <v>-23957</v>
      </c>
      <c r="C102" s="32">
        <v>-12110</v>
      </c>
      <c r="D102" s="32">
        <v>-1790</v>
      </c>
      <c r="E102" s="32">
        <v>-19294</v>
      </c>
      <c r="F102" s="32">
        <v>-10306</v>
      </c>
      <c r="G102" s="32">
        <v>-8281</v>
      </c>
      <c r="H102" s="32">
        <v>-15993</v>
      </c>
      <c r="I102" s="32">
        <v>-14329</v>
      </c>
      <c r="J102" s="120">
        <v>-11667.7</v>
      </c>
      <c r="K102" s="32">
        <v>-17777</v>
      </c>
      <c r="L102" s="120">
        <v>-11181</v>
      </c>
      <c r="M102" s="120">
        <v>-15272</v>
      </c>
      <c r="N102" s="120">
        <v>-12802</v>
      </c>
      <c r="O102" s="120">
        <v>-10126</v>
      </c>
      <c r="P102" s="120">
        <v>-17997</v>
      </c>
      <c r="Q102" s="120">
        <v>-16567</v>
      </c>
      <c r="R102" s="120">
        <v>-34118</v>
      </c>
      <c r="S102" s="120">
        <v>-15726</v>
      </c>
      <c r="T102" s="120">
        <v>-18660</v>
      </c>
      <c r="U102" s="120">
        <v>-27949</v>
      </c>
      <c r="V102" s="120">
        <v>-20525</v>
      </c>
      <c r="W102" s="120">
        <v>-15218</v>
      </c>
      <c r="X102" s="120">
        <v>-21194</v>
      </c>
      <c r="Y102" s="120">
        <v>-22867</v>
      </c>
      <c r="Z102" s="120">
        <v>-11295</v>
      </c>
      <c r="AA102" s="120">
        <v>-5821</v>
      </c>
      <c r="AB102" s="120">
        <v>-14282</v>
      </c>
      <c r="AC102" s="120">
        <v>-13978</v>
      </c>
      <c r="AD102" s="120">
        <v>-18680</v>
      </c>
      <c r="AE102" s="120">
        <v>-6671</v>
      </c>
      <c r="AF102" s="120">
        <v>-18309</v>
      </c>
      <c r="AG102" s="120">
        <v>-14376</v>
      </c>
      <c r="AH102" s="120">
        <v>-11031</v>
      </c>
      <c r="AI102" s="120">
        <v>-25246</v>
      </c>
      <c r="AJ102" s="120">
        <v>-9583</v>
      </c>
      <c r="AK102" s="120">
        <v>-9742</v>
      </c>
      <c r="AL102" s="120">
        <v>-7531</v>
      </c>
      <c r="AM102" s="120">
        <v>-9442</v>
      </c>
      <c r="AN102" s="120">
        <v>-7936</v>
      </c>
      <c r="AO102" s="120">
        <v>-7961</v>
      </c>
    </row>
    <row r="103" spans="1:42" s="30" customFormat="1" x14ac:dyDescent="0.25">
      <c r="A103" s="176" t="s">
        <v>283</v>
      </c>
      <c r="B103" s="29">
        <v>21522</v>
      </c>
      <c r="C103" s="29">
        <v>-23032</v>
      </c>
      <c r="D103" s="29">
        <v>-24207</v>
      </c>
      <c r="E103" s="29">
        <v>-82639</v>
      </c>
      <c r="F103" s="29">
        <v>-1549</v>
      </c>
      <c r="G103" s="29">
        <v>-11227</v>
      </c>
      <c r="H103" s="29">
        <v>119</v>
      </c>
      <c r="I103" s="29">
        <v>-870</v>
      </c>
      <c r="J103" s="122">
        <v>18202.48</v>
      </c>
      <c r="K103" s="29">
        <v>-14471</v>
      </c>
      <c r="L103" s="122">
        <v>-39244</v>
      </c>
      <c r="M103" s="122">
        <v>-7284</v>
      </c>
      <c r="N103" s="122">
        <v>-13455</v>
      </c>
      <c r="O103" s="122">
        <v>1116</v>
      </c>
      <c r="P103" s="122">
        <v>-21294</v>
      </c>
      <c r="Q103" s="122">
        <v>-1992</v>
      </c>
      <c r="R103" s="118">
        <v>430</v>
      </c>
      <c r="S103" s="118">
        <v>301</v>
      </c>
      <c r="T103" s="122">
        <v>-7401</v>
      </c>
      <c r="U103" s="122">
        <v>-6638</v>
      </c>
      <c r="V103" s="122">
        <v>16297</v>
      </c>
      <c r="W103" s="122">
        <v>-95927</v>
      </c>
      <c r="X103" s="122">
        <v>1716</v>
      </c>
      <c r="Y103" s="122">
        <v>-29193</v>
      </c>
      <c r="Z103" s="122">
        <v>-4970</v>
      </c>
      <c r="AA103" s="118">
        <v>651</v>
      </c>
      <c r="AB103" s="118">
        <v>-1352</v>
      </c>
      <c r="AC103" s="122">
        <v>-1253</v>
      </c>
      <c r="AD103" s="122" t="s">
        <v>32</v>
      </c>
      <c r="AE103" s="122" t="s">
        <v>32</v>
      </c>
      <c r="AF103" s="122" t="s">
        <v>32</v>
      </c>
      <c r="AG103" s="122" t="s">
        <v>32</v>
      </c>
      <c r="AH103" s="118" t="s">
        <v>32</v>
      </c>
      <c r="AI103" s="118" t="s">
        <v>32</v>
      </c>
      <c r="AJ103" s="118" t="s">
        <v>32</v>
      </c>
      <c r="AK103" s="118" t="s">
        <v>32</v>
      </c>
      <c r="AL103" s="118" t="s">
        <v>32</v>
      </c>
      <c r="AM103" s="118" t="s">
        <v>32</v>
      </c>
      <c r="AN103" s="118" t="s">
        <v>32</v>
      </c>
      <c r="AO103" s="118" t="s">
        <v>32</v>
      </c>
      <c r="AP103" s="33"/>
    </row>
    <row r="104" spans="1:42" x14ac:dyDescent="0.25">
      <c r="A104" s="180" t="s">
        <v>287</v>
      </c>
      <c r="B104" s="32">
        <v>-39990</v>
      </c>
      <c r="C104" s="32">
        <v>-38210</v>
      </c>
      <c r="D104" s="32">
        <v>-34990</v>
      </c>
      <c r="E104" s="32">
        <v>-42894</v>
      </c>
      <c r="F104" s="32">
        <v>-45645</v>
      </c>
      <c r="G104" s="32">
        <v>-48275</v>
      </c>
      <c r="H104" s="32">
        <v>-44403</v>
      </c>
      <c r="I104" s="32">
        <v>-48223</v>
      </c>
      <c r="J104" s="120">
        <v>-49481.7</v>
      </c>
      <c r="K104" s="32">
        <v>-50580</v>
      </c>
      <c r="L104" s="120">
        <v>-45312</v>
      </c>
      <c r="M104" s="120">
        <v>-48688</v>
      </c>
      <c r="N104" s="120">
        <v>-53233</v>
      </c>
      <c r="O104" s="120">
        <v>-54999</v>
      </c>
      <c r="P104" s="120">
        <v>-61955</v>
      </c>
      <c r="Q104" s="120">
        <v>-68697</v>
      </c>
      <c r="R104" s="120">
        <v>-69965</v>
      </c>
      <c r="S104" s="120">
        <v>-71851</v>
      </c>
      <c r="T104" s="120">
        <v>-71843</v>
      </c>
      <c r="U104" s="120">
        <v>-79137</v>
      </c>
      <c r="V104" s="120">
        <v>-79027</v>
      </c>
      <c r="W104" s="120">
        <v>-73611</v>
      </c>
      <c r="X104" s="120">
        <v>-64387</v>
      </c>
      <c r="Y104" s="120">
        <v>-59744</v>
      </c>
      <c r="Z104" s="120">
        <v>-52310</v>
      </c>
      <c r="AA104" s="120">
        <v>-53512</v>
      </c>
      <c r="AB104" s="120">
        <v>-52721</v>
      </c>
      <c r="AC104" s="120">
        <v>-51755</v>
      </c>
      <c r="AD104" s="120">
        <v>-44472</v>
      </c>
      <c r="AE104" s="120">
        <v>-45767</v>
      </c>
      <c r="AF104" s="120">
        <v>-46241</v>
      </c>
      <c r="AG104" s="120">
        <v>-45001</v>
      </c>
      <c r="AH104" s="120">
        <v>-46876</v>
      </c>
      <c r="AI104" s="120">
        <v>-43695</v>
      </c>
      <c r="AJ104" s="120">
        <v>-53984</v>
      </c>
      <c r="AK104" s="120">
        <v>-49891</v>
      </c>
      <c r="AL104" s="120">
        <v>-48139</v>
      </c>
      <c r="AM104" s="120">
        <v>-38730</v>
      </c>
      <c r="AN104" s="120">
        <v>-31059</v>
      </c>
      <c r="AO104" s="120">
        <v>-30030</v>
      </c>
    </row>
    <row r="105" spans="1:42" s="30" customFormat="1" x14ac:dyDescent="0.25">
      <c r="A105" s="176" t="s">
        <v>288</v>
      </c>
      <c r="B105" s="53">
        <v>-155</v>
      </c>
      <c r="C105" s="53">
        <v>-41</v>
      </c>
      <c r="D105" s="53">
        <v>-75</v>
      </c>
      <c r="E105" s="53">
        <v>-73</v>
      </c>
      <c r="F105" s="53">
        <v>-25</v>
      </c>
      <c r="G105" s="53">
        <v>-55</v>
      </c>
      <c r="H105" s="53">
        <v>-209</v>
      </c>
      <c r="I105" s="53">
        <v>-171</v>
      </c>
      <c r="J105" s="118">
        <v>-14376</v>
      </c>
      <c r="K105" s="53">
        <v>-559</v>
      </c>
      <c r="L105" s="118">
        <v>-205</v>
      </c>
      <c r="M105" s="118">
        <v>-371</v>
      </c>
      <c r="N105" s="118">
        <v>-131</v>
      </c>
      <c r="O105" s="118">
        <v>-85</v>
      </c>
      <c r="P105" s="118">
        <v>-12</v>
      </c>
      <c r="Q105" s="118">
        <v>-176</v>
      </c>
      <c r="R105" s="118">
        <v>-120</v>
      </c>
      <c r="S105" s="118">
        <v>-233</v>
      </c>
      <c r="T105" s="118">
        <v>-475</v>
      </c>
      <c r="U105" s="118">
        <v>-70</v>
      </c>
      <c r="V105" s="118">
        <v>-186</v>
      </c>
      <c r="W105" s="118">
        <v>-233</v>
      </c>
      <c r="X105" s="118">
        <v>-431</v>
      </c>
      <c r="Y105" s="118">
        <v>-95</v>
      </c>
      <c r="Z105" s="118">
        <v>-111</v>
      </c>
      <c r="AA105" s="122">
        <v>-1571</v>
      </c>
      <c r="AB105" s="122">
        <v>-102</v>
      </c>
      <c r="AC105" s="118">
        <v>-103</v>
      </c>
      <c r="AD105" s="118">
        <v>-1052</v>
      </c>
      <c r="AE105" s="118">
        <v>-3406</v>
      </c>
      <c r="AF105" s="118">
        <v>-525</v>
      </c>
      <c r="AG105" s="118">
        <v>-104</v>
      </c>
      <c r="AH105" s="122">
        <v>-3797</v>
      </c>
      <c r="AI105" s="118">
        <v>-1010</v>
      </c>
      <c r="AJ105" s="118">
        <v>-1058</v>
      </c>
      <c r="AK105" s="122">
        <v>-1456</v>
      </c>
      <c r="AL105" s="122">
        <v>-1460</v>
      </c>
      <c r="AM105" s="118">
        <v>-780</v>
      </c>
      <c r="AN105" s="118">
        <v>-674</v>
      </c>
      <c r="AO105" s="122">
        <v>-1446</v>
      </c>
      <c r="AP105" s="33"/>
    </row>
    <row r="106" spans="1:42" x14ac:dyDescent="0.25">
      <c r="A106" s="182"/>
      <c r="B106" s="175"/>
      <c r="C106" s="175"/>
      <c r="D106" s="175"/>
      <c r="E106" s="175"/>
      <c r="F106" s="175"/>
      <c r="G106" s="175"/>
      <c r="H106" s="175"/>
      <c r="I106" s="175"/>
      <c r="J106" s="181"/>
      <c r="K106" s="175"/>
      <c r="L106" s="181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</row>
    <row r="107" spans="1:42" s="117" customFormat="1" ht="15.75" x14ac:dyDescent="0.25">
      <c r="A107" s="189" t="s">
        <v>276</v>
      </c>
      <c r="B107" s="113">
        <f t="shared" ref="B107:H107" si="27">SUM(B102:B106)</f>
        <v>-42580</v>
      </c>
      <c r="C107" s="113">
        <f t="shared" si="27"/>
        <v>-73393</v>
      </c>
      <c r="D107" s="113">
        <f t="shared" si="27"/>
        <v>-61062</v>
      </c>
      <c r="E107" s="113">
        <f t="shared" si="27"/>
        <v>-144900</v>
      </c>
      <c r="F107" s="113">
        <f t="shared" si="27"/>
        <v>-57525</v>
      </c>
      <c r="G107" s="113">
        <f t="shared" si="27"/>
        <v>-67838</v>
      </c>
      <c r="H107" s="113">
        <f t="shared" si="27"/>
        <v>-60486</v>
      </c>
      <c r="I107" s="113">
        <f t="shared" ref="I107:AO107" si="28">SUM(I102:I106)</f>
        <v>-63593</v>
      </c>
      <c r="J107" s="113">
        <f t="shared" si="28"/>
        <v>-57322.92</v>
      </c>
      <c r="K107" s="113">
        <f t="shared" si="28"/>
        <v>-83387</v>
      </c>
      <c r="L107" s="113">
        <f t="shared" si="28"/>
        <v>-95942</v>
      </c>
      <c r="M107" s="113">
        <f t="shared" si="28"/>
        <v>-71615</v>
      </c>
      <c r="N107" s="113">
        <f t="shared" si="28"/>
        <v>-79621</v>
      </c>
      <c r="O107" s="113">
        <f t="shared" si="28"/>
        <v>-64094</v>
      </c>
      <c r="P107" s="113">
        <f t="shared" si="28"/>
        <v>-101258</v>
      </c>
      <c r="Q107" s="113">
        <f t="shared" si="28"/>
        <v>-87432</v>
      </c>
      <c r="R107" s="113">
        <f t="shared" si="28"/>
        <v>-103773</v>
      </c>
      <c r="S107" s="113">
        <f t="shared" si="28"/>
        <v>-87509</v>
      </c>
      <c r="T107" s="113">
        <f t="shared" si="28"/>
        <v>-98379</v>
      </c>
      <c r="U107" s="113">
        <f t="shared" si="28"/>
        <v>-113794</v>
      </c>
      <c r="V107" s="113">
        <f t="shared" si="28"/>
        <v>-83441</v>
      </c>
      <c r="W107" s="113">
        <f t="shared" si="28"/>
        <v>-184989</v>
      </c>
      <c r="X107" s="113">
        <f t="shared" si="28"/>
        <v>-84296</v>
      </c>
      <c r="Y107" s="113">
        <f t="shared" si="28"/>
        <v>-111899</v>
      </c>
      <c r="Z107" s="113">
        <f t="shared" si="28"/>
        <v>-68686</v>
      </c>
      <c r="AA107" s="113">
        <f t="shared" si="28"/>
        <v>-60253</v>
      </c>
      <c r="AB107" s="113">
        <f t="shared" si="28"/>
        <v>-68457</v>
      </c>
      <c r="AC107" s="113">
        <f t="shared" si="28"/>
        <v>-67089</v>
      </c>
      <c r="AD107" s="113">
        <f t="shared" si="28"/>
        <v>-64204</v>
      </c>
      <c r="AE107" s="113">
        <f t="shared" si="28"/>
        <v>-55844</v>
      </c>
      <c r="AF107" s="113">
        <f t="shared" si="28"/>
        <v>-65075</v>
      </c>
      <c r="AG107" s="113">
        <f t="shared" si="28"/>
        <v>-59481</v>
      </c>
      <c r="AH107" s="113">
        <f t="shared" si="28"/>
        <v>-61704</v>
      </c>
      <c r="AI107" s="113">
        <f t="shared" si="28"/>
        <v>-69951</v>
      </c>
      <c r="AJ107" s="113">
        <f t="shared" si="28"/>
        <v>-64625</v>
      </c>
      <c r="AK107" s="113">
        <f t="shared" si="28"/>
        <v>-61089</v>
      </c>
      <c r="AL107" s="113">
        <f t="shared" si="28"/>
        <v>-57130</v>
      </c>
      <c r="AM107" s="113">
        <f t="shared" si="28"/>
        <v>-48952</v>
      </c>
      <c r="AN107" s="113">
        <f t="shared" si="28"/>
        <v>-39669</v>
      </c>
      <c r="AO107" s="113">
        <f t="shared" si="28"/>
        <v>-39437</v>
      </c>
      <c r="AP107" s="163"/>
    </row>
    <row r="108" spans="1:42" x14ac:dyDescent="0.25">
      <c r="A108" s="182"/>
      <c r="B108" s="175"/>
      <c r="C108" s="175"/>
      <c r="D108" s="175"/>
      <c r="E108" s="175"/>
      <c r="F108" s="175"/>
      <c r="G108" s="175"/>
      <c r="H108" s="175"/>
      <c r="I108" s="175"/>
      <c r="J108" s="181"/>
      <c r="K108" s="175"/>
      <c r="L108" s="181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</row>
    <row r="109" spans="1:42" s="117" customFormat="1" ht="15.75" x14ac:dyDescent="0.25">
      <c r="A109" s="189" t="s">
        <v>274</v>
      </c>
      <c r="B109" s="112">
        <f t="shared" ref="B109:G109" si="29">B98+B107</f>
        <v>-25396</v>
      </c>
      <c r="C109" s="112">
        <f t="shared" si="29"/>
        <v>-37838</v>
      </c>
      <c r="D109" s="112">
        <f t="shared" si="29"/>
        <v>-20051</v>
      </c>
      <c r="E109" s="112">
        <f t="shared" si="29"/>
        <v>-92688</v>
      </c>
      <c r="F109" s="112">
        <f t="shared" si="29"/>
        <v>-22417</v>
      </c>
      <c r="G109" s="112">
        <f t="shared" si="29"/>
        <v>-39190</v>
      </c>
      <c r="H109" s="112">
        <f>H107+H98</f>
        <v>-30819</v>
      </c>
      <c r="I109" s="112">
        <f t="shared" ref="I109:AO109" si="30">I107+I98</f>
        <v>-41469</v>
      </c>
      <c r="J109" s="112">
        <f t="shared" si="30"/>
        <v>-34808.92</v>
      </c>
      <c r="K109" s="112">
        <f t="shared" si="30"/>
        <v>-41672</v>
      </c>
      <c r="L109" s="112">
        <f t="shared" si="30"/>
        <v>-64277</v>
      </c>
      <c r="M109" s="112">
        <f t="shared" si="30"/>
        <v>-50947</v>
      </c>
      <c r="N109" s="112">
        <f t="shared" si="30"/>
        <v>-55923</v>
      </c>
      <c r="O109" s="112">
        <f t="shared" si="30"/>
        <v>-35536</v>
      </c>
      <c r="P109" s="112">
        <f t="shared" si="30"/>
        <v>-57897</v>
      </c>
      <c r="Q109" s="112">
        <f t="shared" si="30"/>
        <v>-50905</v>
      </c>
      <c r="R109" s="112">
        <f t="shared" si="30"/>
        <v>-51125</v>
      </c>
      <c r="S109" s="112">
        <f t="shared" si="30"/>
        <v>-58476</v>
      </c>
      <c r="T109" s="112">
        <f t="shared" si="30"/>
        <v>-24837</v>
      </c>
      <c r="U109" s="112">
        <f t="shared" si="30"/>
        <v>-66767</v>
      </c>
      <c r="V109" s="112">
        <f t="shared" si="30"/>
        <v>-50449</v>
      </c>
      <c r="W109" s="112">
        <f t="shared" si="30"/>
        <v>-142456</v>
      </c>
      <c r="X109" s="112">
        <f t="shared" si="30"/>
        <v>-68851</v>
      </c>
      <c r="Y109" s="112">
        <f t="shared" si="30"/>
        <v>-81314</v>
      </c>
      <c r="Z109" s="112">
        <f t="shared" si="30"/>
        <v>-50632</v>
      </c>
      <c r="AA109" s="112">
        <f t="shared" si="30"/>
        <v>-48401</v>
      </c>
      <c r="AB109" s="112">
        <f t="shared" si="30"/>
        <v>-43612</v>
      </c>
      <c r="AC109" s="112">
        <f t="shared" si="30"/>
        <v>-44165</v>
      </c>
      <c r="AD109" s="112">
        <f t="shared" si="30"/>
        <v>-48060</v>
      </c>
      <c r="AE109" s="112">
        <f t="shared" si="30"/>
        <v>-30281</v>
      </c>
      <c r="AF109" s="112">
        <f t="shared" si="30"/>
        <v>-43202</v>
      </c>
      <c r="AG109" s="112">
        <f t="shared" si="30"/>
        <v>-37226</v>
      </c>
      <c r="AH109" s="112">
        <f t="shared" si="30"/>
        <v>-31995</v>
      </c>
      <c r="AI109" s="112">
        <f t="shared" si="30"/>
        <v>-23411</v>
      </c>
      <c r="AJ109" s="112">
        <f t="shared" si="30"/>
        <v>-36328</v>
      </c>
      <c r="AK109" s="112">
        <f t="shared" si="30"/>
        <v>-30918</v>
      </c>
      <c r="AL109" s="112">
        <f t="shared" si="30"/>
        <v>-30563</v>
      </c>
      <c r="AM109" s="112">
        <f t="shared" si="30"/>
        <v>-24313</v>
      </c>
      <c r="AN109" s="112">
        <f t="shared" si="30"/>
        <v>-14821</v>
      </c>
      <c r="AO109" s="112">
        <f t="shared" si="30"/>
        <v>-19158</v>
      </c>
      <c r="AP109" s="163"/>
    </row>
    <row r="110" spans="1:42" s="30" customFormat="1" x14ac:dyDescent="0.25">
      <c r="A110" s="171"/>
      <c r="B110" s="106"/>
      <c r="C110" s="106"/>
      <c r="D110" s="106"/>
      <c r="E110" s="106"/>
      <c r="F110" s="106"/>
      <c r="G110" s="106"/>
      <c r="H110" s="106"/>
      <c r="I110" s="106"/>
      <c r="J110" s="107"/>
      <c r="K110" s="106"/>
      <c r="L110" s="107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33"/>
    </row>
    <row r="111" spans="1:42" x14ac:dyDescent="0.25">
      <c r="A111" s="180" t="s">
        <v>275</v>
      </c>
      <c r="B111" s="32">
        <v>-61871</v>
      </c>
      <c r="C111" s="32">
        <f>C35</f>
        <v>-63591</v>
      </c>
      <c r="D111" s="32">
        <v>-37816</v>
      </c>
      <c r="E111" s="32">
        <v>-45066</v>
      </c>
      <c r="F111" s="32">
        <v>-56480</v>
      </c>
      <c r="G111" s="32">
        <f>G35</f>
        <v>-52476</v>
      </c>
      <c r="H111" s="32">
        <v>-34492</v>
      </c>
      <c r="I111" s="32">
        <v>-50300</v>
      </c>
      <c r="J111" s="120">
        <v>-30940</v>
      </c>
      <c r="K111" s="32">
        <v>-27528</v>
      </c>
      <c r="L111" s="120">
        <v>-20745</v>
      </c>
      <c r="M111" s="120">
        <v>-31812</v>
      </c>
      <c r="N111" s="120">
        <v>-36585</v>
      </c>
      <c r="O111" s="120">
        <v>-40437</v>
      </c>
      <c r="P111" s="120">
        <v>-25092</v>
      </c>
      <c r="Q111" s="120">
        <v>-41072</v>
      </c>
      <c r="R111" s="120">
        <v>-41606</v>
      </c>
      <c r="S111" s="120">
        <v>-27794</v>
      </c>
      <c r="T111" s="120">
        <v>-37587</v>
      </c>
      <c r="U111" s="120">
        <v>-13462</v>
      </c>
      <c r="V111" s="120">
        <v>5409</v>
      </c>
      <c r="W111" s="119">
        <v>780</v>
      </c>
      <c r="X111" s="120">
        <v>7142</v>
      </c>
      <c r="Y111" s="119">
        <v>-474</v>
      </c>
      <c r="Z111" s="120">
        <v>-11299</v>
      </c>
      <c r="AA111" s="120">
        <v>-26247</v>
      </c>
      <c r="AB111" s="120">
        <v>-19618</v>
      </c>
      <c r="AC111" s="120">
        <v>-25308</v>
      </c>
      <c r="AD111" s="120">
        <v>-24953</v>
      </c>
      <c r="AE111" s="120">
        <v>-27941</v>
      </c>
      <c r="AF111" s="120">
        <v>-23911</v>
      </c>
      <c r="AG111" s="120">
        <v>-29468</v>
      </c>
      <c r="AH111" s="120">
        <v>-28419</v>
      </c>
      <c r="AI111" s="120">
        <v>-28183</v>
      </c>
      <c r="AJ111" s="120">
        <v>-26988</v>
      </c>
      <c r="AK111" s="120">
        <v>-32190</v>
      </c>
      <c r="AL111" s="120">
        <v>-11723</v>
      </c>
      <c r="AM111" s="120">
        <v>-36688</v>
      </c>
      <c r="AN111" s="120">
        <v>-33601</v>
      </c>
      <c r="AO111" s="120">
        <v>-47292</v>
      </c>
    </row>
    <row r="112" spans="1:42" s="30" customFormat="1" x14ac:dyDescent="0.25">
      <c r="A112" s="176" t="s">
        <v>246</v>
      </c>
      <c r="B112" s="29">
        <v>-25754</v>
      </c>
      <c r="C112" s="29">
        <f>C36</f>
        <v>-23592</v>
      </c>
      <c r="D112" s="29">
        <v>-14234</v>
      </c>
      <c r="E112" s="29">
        <v>-16874</v>
      </c>
      <c r="F112" s="29">
        <v>-22890</v>
      </c>
      <c r="G112" s="29">
        <f>G36</f>
        <v>-19688</v>
      </c>
      <c r="H112" s="29">
        <v>-12923</v>
      </c>
      <c r="I112" s="29">
        <v>-18681</v>
      </c>
      <c r="J112" s="122">
        <v>-11926</v>
      </c>
      <c r="K112" s="29">
        <v>-10239</v>
      </c>
      <c r="L112" s="122">
        <v>-7966</v>
      </c>
      <c r="M112" s="122">
        <v>-12016</v>
      </c>
      <c r="N112" s="122">
        <v>-14636</v>
      </c>
      <c r="O112" s="122">
        <v>-15284</v>
      </c>
      <c r="P112" s="122">
        <v>-9796</v>
      </c>
      <c r="Q112" s="122">
        <v>-15360</v>
      </c>
      <c r="R112" s="122">
        <v>-16099</v>
      </c>
      <c r="S112" s="122">
        <v>-10457</v>
      </c>
      <c r="T112" s="122">
        <v>-13835</v>
      </c>
      <c r="U112" s="122">
        <v>-5031</v>
      </c>
      <c r="V112" s="122">
        <v>2035</v>
      </c>
      <c r="W112" s="118">
        <v>159</v>
      </c>
      <c r="X112" s="122">
        <v>2620</v>
      </c>
      <c r="Y112" s="118">
        <v>-320</v>
      </c>
      <c r="Z112" s="122">
        <v>-4979</v>
      </c>
      <c r="AA112" s="122">
        <v>-9907</v>
      </c>
      <c r="AB112" s="122">
        <v>-7770</v>
      </c>
      <c r="AC112" s="122">
        <v>-9372</v>
      </c>
      <c r="AD112" s="122">
        <v>-10115</v>
      </c>
      <c r="AE112" s="122">
        <v>-10127</v>
      </c>
      <c r="AF112" s="122">
        <v>-8925</v>
      </c>
      <c r="AG112" s="122">
        <v>-10922</v>
      </c>
      <c r="AH112" s="122">
        <v>-11569</v>
      </c>
      <c r="AI112" s="122">
        <v>-10691</v>
      </c>
      <c r="AJ112" s="122">
        <v>-10186</v>
      </c>
      <c r="AK112" s="122">
        <v>-11880</v>
      </c>
      <c r="AL112" s="122">
        <v>-5508</v>
      </c>
      <c r="AM112" s="122">
        <v>-13774</v>
      </c>
      <c r="AN112" s="122">
        <v>-12448</v>
      </c>
      <c r="AO112" s="122">
        <v>-17400</v>
      </c>
      <c r="AP112" s="33"/>
    </row>
    <row r="113" spans="1:42" x14ac:dyDescent="0.25">
      <c r="A113" s="182"/>
      <c r="B113" s="175"/>
      <c r="C113" s="175"/>
      <c r="D113" s="175"/>
      <c r="E113" s="175"/>
      <c r="F113" s="175"/>
      <c r="G113" s="175"/>
      <c r="H113" s="175"/>
      <c r="I113" s="175"/>
      <c r="J113" s="181"/>
      <c r="K113" s="175"/>
      <c r="L113" s="181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</row>
    <row r="114" spans="1:42" s="117" customFormat="1" ht="15.75" x14ac:dyDescent="0.25">
      <c r="A114" s="191" t="s">
        <v>289</v>
      </c>
      <c r="B114" s="113">
        <f>B48+B55+B77+B85+B87+B88+B109+B111+B112</f>
        <v>268754</v>
      </c>
      <c r="C114" s="113">
        <f t="shared" ref="C114:G114" si="31">C48+C55+C77+C85+C87+C88+C109+C111+C112</f>
        <v>240543</v>
      </c>
      <c r="D114" s="113">
        <f t="shared" si="31"/>
        <v>146345</v>
      </c>
      <c r="E114" s="113">
        <f t="shared" si="31"/>
        <v>160835</v>
      </c>
      <c r="F114" s="113">
        <f t="shared" si="31"/>
        <v>255287</v>
      </c>
      <c r="G114" s="113">
        <f t="shared" si="31"/>
        <v>193293</v>
      </c>
      <c r="H114" s="113">
        <f>H48+H53+H55+H77+H85+H87+H88+H109+H111+H112</f>
        <v>119059</v>
      </c>
      <c r="I114" s="113">
        <f>I48+I53+I55+I77+I85+I87+I88+I109+I111+I112</f>
        <v>186735</v>
      </c>
      <c r="J114" s="113">
        <f t="shared" ref="J114:AO114" si="32">J48+J53+J55+J77+J85+J87+J88+J109+J111+J112</f>
        <v>178003.3899999999</v>
      </c>
      <c r="K114" s="113">
        <f t="shared" si="32"/>
        <v>126311.6</v>
      </c>
      <c r="L114" s="113">
        <f t="shared" si="32"/>
        <v>110151.80290000001</v>
      </c>
      <c r="M114" s="113">
        <f t="shared" si="32"/>
        <v>164233</v>
      </c>
      <c r="N114" s="113">
        <f t="shared" si="32"/>
        <v>150790</v>
      </c>
      <c r="O114" s="113">
        <f t="shared" si="32"/>
        <v>149747</v>
      </c>
      <c r="P114" s="113">
        <f>P48+P53+P55+P77+P85+P87+P88+P109+P111+P112</f>
        <v>110887</v>
      </c>
      <c r="Q114" s="113">
        <f t="shared" si="32"/>
        <v>149013</v>
      </c>
      <c r="R114" s="113">
        <f t="shared" si="32"/>
        <v>131752</v>
      </c>
      <c r="S114" s="113">
        <f t="shared" si="32"/>
        <v>109661</v>
      </c>
      <c r="T114" s="113">
        <f t="shared" si="32"/>
        <v>102944</v>
      </c>
      <c r="U114" s="113">
        <f t="shared" si="32"/>
        <v>89805</v>
      </c>
      <c r="V114" s="113">
        <f t="shared" si="32"/>
        <v>-40768</v>
      </c>
      <c r="W114" s="113">
        <f t="shared" si="32"/>
        <v>8939</v>
      </c>
      <c r="X114" s="113">
        <f t="shared" si="32"/>
        <v>3788</v>
      </c>
      <c r="Y114" s="113">
        <f t="shared" si="32"/>
        <v>16451</v>
      </c>
      <c r="Z114" s="113">
        <f t="shared" si="32"/>
        <v>21542</v>
      </c>
      <c r="AA114" s="113">
        <f t="shared" si="32"/>
        <v>98063</v>
      </c>
      <c r="AB114" s="113">
        <f>AB48+AB53+AB55+AB77+AB85+AB87+AB88+AB109+AB111+AB112</f>
        <v>81923</v>
      </c>
      <c r="AC114" s="113">
        <f t="shared" si="32"/>
        <v>116613</v>
      </c>
      <c r="AD114" s="113">
        <f t="shared" si="32"/>
        <v>101367</v>
      </c>
      <c r="AE114" s="113">
        <f t="shared" si="32"/>
        <v>125834</v>
      </c>
      <c r="AF114" s="113">
        <f t="shared" si="32"/>
        <v>76221</v>
      </c>
      <c r="AG114" s="113">
        <f t="shared" si="32"/>
        <v>116370</v>
      </c>
      <c r="AH114" s="113">
        <f t="shared" si="32"/>
        <v>126175</v>
      </c>
      <c r="AI114" s="113">
        <f t="shared" si="32"/>
        <v>127982.31120000005</v>
      </c>
      <c r="AJ114" s="113">
        <f t="shared" si="32"/>
        <v>108392</v>
      </c>
      <c r="AK114" s="113">
        <f t="shared" si="32"/>
        <v>124381</v>
      </c>
      <c r="AL114" s="113">
        <f t="shared" si="32"/>
        <v>105582</v>
      </c>
      <c r="AM114" s="113">
        <f t="shared" si="32"/>
        <v>120102</v>
      </c>
      <c r="AN114" s="113">
        <f t="shared" si="32"/>
        <v>114504</v>
      </c>
      <c r="AO114" s="113">
        <f t="shared" si="32"/>
        <v>130247</v>
      </c>
      <c r="AP114" s="163"/>
    </row>
    <row r="115" spans="1:42" x14ac:dyDescent="0.25">
      <c r="A115" s="322"/>
      <c r="B115" s="387"/>
      <c r="C115" s="387"/>
      <c r="D115" s="387"/>
      <c r="E115" s="387"/>
      <c r="F115" s="322"/>
      <c r="G115" s="322"/>
      <c r="H115" s="322"/>
      <c r="I115" s="323"/>
      <c r="J115" s="324"/>
      <c r="K115" s="323"/>
      <c r="L115" s="324"/>
      <c r="M115" s="325"/>
      <c r="N115" s="325"/>
      <c r="O115" s="325"/>
      <c r="P115" s="325"/>
      <c r="Q115" s="325"/>
      <c r="R115" s="325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1:42" x14ac:dyDescent="0.25">
      <c r="A116" s="322"/>
      <c r="B116" s="387"/>
      <c r="C116" s="387"/>
      <c r="D116" s="387"/>
      <c r="E116" s="387"/>
      <c r="F116" s="322"/>
      <c r="G116" s="322"/>
      <c r="H116" s="322"/>
      <c r="I116" s="323"/>
      <c r="J116" s="324"/>
      <c r="K116" s="323"/>
      <c r="L116" s="324"/>
      <c r="M116" s="325"/>
      <c r="N116" s="325"/>
      <c r="O116" s="325"/>
      <c r="P116" s="325"/>
      <c r="Q116" s="325"/>
      <c r="R116" s="325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1:42" x14ac:dyDescent="0.25">
      <c r="A117" s="182"/>
      <c r="B117" s="388"/>
      <c r="C117" s="388"/>
      <c r="D117" s="388"/>
      <c r="E117" s="388"/>
      <c r="F117" s="182"/>
      <c r="G117" s="182"/>
      <c r="H117" s="182"/>
    </row>
    <row r="118" spans="1:42" x14ac:dyDescent="0.25"/>
    <row r="119" spans="1:42" x14ac:dyDescent="0.25"/>
    <row r="120" spans="1:42" x14ac:dyDescent="0.25"/>
    <row r="121" spans="1:42" x14ac:dyDescent="0.25"/>
  </sheetData>
  <mergeCells count="1">
    <mergeCell ref="K1:W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3"/>
  <sheetViews>
    <sheetView zoomScale="80" zoomScaleNormal="80" zoomScaleSheetLayoutView="90" workbookViewId="0">
      <selection activeCell="F15" sqref="F15"/>
    </sheetView>
  </sheetViews>
  <sheetFormatPr defaultColWidth="0" defaultRowHeight="15" zeroHeight="1" x14ac:dyDescent="0.25"/>
  <cols>
    <col min="1" max="1" width="55.85546875" style="7" customWidth="1"/>
    <col min="2" max="3" width="12.28515625" style="7" customWidth="1"/>
    <col min="4" max="5" width="12.28515625" style="7" bestFit="1" customWidth="1"/>
    <col min="6" max="41" width="12.7109375" style="7" customWidth="1"/>
    <col min="42" max="42" width="14.7109375" style="7" customWidth="1"/>
    <col min="43" max="43" width="9.140625" style="7" customWidth="1"/>
    <col min="44" max="16384" width="9.140625" style="7" hidden="1"/>
  </cols>
  <sheetData>
    <row r="1" spans="1:43" customFormat="1" ht="110.25" customHeight="1" x14ac:dyDescent="0.25">
      <c r="A1" s="340"/>
      <c r="B1" s="376"/>
      <c r="C1" s="376"/>
      <c r="D1" s="376"/>
      <c r="E1" s="376"/>
      <c r="F1" s="376"/>
      <c r="G1" s="340"/>
      <c r="H1" s="394" t="s">
        <v>382</v>
      </c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s="1" customFormat="1" ht="31.5" x14ac:dyDescent="0.25">
      <c r="A2" s="240" t="s">
        <v>295</v>
      </c>
      <c r="B2" s="240" t="s">
        <v>443</v>
      </c>
      <c r="C2" s="240" t="s">
        <v>436</v>
      </c>
      <c r="D2" s="240" t="s">
        <v>433</v>
      </c>
      <c r="E2" s="240" t="s">
        <v>422</v>
      </c>
      <c r="F2" s="241" t="s">
        <v>400</v>
      </c>
      <c r="G2" s="241" t="s">
        <v>389</v>
      </c>
      <c r="H2" s="241" t="s">
        <v>225</v>
      </c>
      <c r="I2" s="242" t="s">
        <v>0</v>
      </c>
      <c r="J2" s="241" t="s">
        <v>1</v>
      </c>
      <c r="K2" s="242" t="s">
        <v>2</v>
      </c>
      <c r="L2" s="242" t="s">
        <v>3</v>
      </c>
      <c r="M2" s="242" t="s">
        <v>4</v>
      </c>
      <c r="N2" s="242" t="s">
        <v>5</v>
      </c>
      <c r="O2" s="242" t="s">
        <v>6</v>
      </c>
      <c r="P2" s="242" t="s">
        <v>7</v>
      </c>
      <c r="Q2" s="242" t="s">
        <v>8</v>
      </c>
      <c r="R2" s="242" t="s">
        <v>9</v>
      </c>
      <c r="S2" s="242" t="s">
        <v>10</v>
      </c>
      <c r="T2" s="242" t="s">
        <v>11</v>
      </c>
      <c r="U2" s="242" t="s">
        <v>12</v>
      </c>
      <c r="V2" s="242" t="s">
        <v>13</v>
      </c>
      <c r="W2" s="242" t="s">
        <v>14</v>
      </c>
      <c r="X2" s="242" t="s">
        <v>15</v>
      </c>
      <c r="Y2" s="242" t="s">
        <v>16</v>
      </c>
      <c r="Z2" s="242" t="s">
        <v>17</v>
      </c>
      <c r="AA2" s="242" t="s">
        <v>18</v>
      </c>
      <c r="AB2" s="242" t="s">
        <v>19</v>
      </c>
      <c r="AC2" s="242" t="s">
        <v>20</v>
      </c>
      <c r="AD2" s="242" t="s">
        <v>34</v>
      </c>
      <c r="AE2" s="242" t="s">
        <v>21</v>
      </c>
      <c r="AF2" s="242" t="s">
        <v>22</v>
      </c>
      <c r="AG2" s="242" t="s">
        <v>23</v>
      </c>
      <c r="AH2" s="242" t="s">
        <v>24</v>
      </c>
      <c r="AI2" s="242" t="s">
        <v>25</v>
      </c>
      <c r="AJ2" s="242" t="s">
        <v>26</v>
      </c>
      <c r="AK2" s="242" t="s">
        <v>27</v>
      </c>
      <c r="AL2" s="242" t="s">
        <v>28</v>
      </c>
      <c r="AM2" s="242" t="s">
        <v>29</v>
      </c>
      <c r="AN2" s="242" t="s">
        <v>30</v>
      </c>
      <c r="AO2" s="242" t="s">
        <v>31</v>
      </c>
      <c r="AP2" s="296"/>
      <c r="AQ2" s="296"/>
    </row>
    <row r="3" spans="1:43" s="1" customFormat="1" ht="15.75" x14ac:dyDescent="0.25">
      <c r="A3" s="243" t="s">
        <v>424</v>
      </c>
      <c r="B3" s="243"/>
      <c r="C3" s="243"/>
      <c r="D3" s="243"/>
      <c r="E3" s="243"/>
      <c r="F3" s="295"/>
      <c r="G3" s="295"/>
      <c r="H3" s="295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296"/>
      <c r="AQ3" s="296"/>
    </row>
    <row r="4" spans="1:43" s="1" customFormat="1" ht="15.75" x14ac:dyDescent="0.25">
      <c r="A4" s="193" t="s">
        <v>371</v>
      </c>
      <c r="B4" s="193"/>
      <c r="C4" s="193"/>
      <c r="D4" s="193"/>
      <c r="E4" s="193"/>
      <c r="F4" s="160"/>
      <c r="G4" s="160"/>
      <c r="H4" s="160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296"/>
      <c r="AQ4" s="296"/>
    </row>
    <row r="5" spans="1:43" s="1" customFormat="1" x14ac:dyDescent="0.25">
      <c r="A5" s="4"/>
      <c r="B5" s="4"/>
      <c r="C5" s="4"/>
      <c r="D5" s="4"/>
      <c r="E5" s="4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296"/>
      <c r="AQ5" s="296"/>
    </row>
    <row r="6" spans="1:43" s="1" customFormat="1" x14ac:dyDescent="0.25">
      <c r="A6" s="244" t="s">
        <v>47</v>
      </c>
      <c r="B6" s="32">
        <v>26465</v>
      </c>
      <c r="C6" s="32">
        <v>24796</v>
      </c>
      <c r="D6" s="32">
        <v>22638</v>
      </c>
      <c r="E6" s="32">
        <v>21164</v>
      </c>
      <c r="F6" s="32">
        <v>31473</v>
      </c>
      <c r="G6" s="32">
        <v>51031</v>
      </c>
      <c r="H6" s="32">
        <v>36388</v>
      </c>
      <c r="I6" s="32">
        <v>31351</v>
      </c>
      <c r="J6" s="32">
        <v>40511</v>
      </c>
      <c r="K6" s="120">
        <v>34448</v>
      </c>
      <c r="L6" s="120">
        <v>25057</v>
      </c>
      <c r="M6" s="120">
        <v>36101</v>
      </c>
      <c r="N6" s="120">
        <v>35576</v>
      </c>
      <c r="O6" s="120">
        <v>19735</v>
      </c>
      <c r="P6" s="120">
        <v>18608</v>
      </c>
      <c r="Q6" s="120">
        <v>16478</v>
      </c>
      <c r="R6" s="120">
        <v>43782</v>
      </c>
      <c r="S6" s="120">
        <v>41373</v>
      </c>
      <c r="T6" s="120">
        <v>40724</v>
      </c>
      <c r="U6" s="120">
        <v>41250</v>
      </c>
      <c r="V6" s="120">
        <v>62851</v>
      </c>
      <c r="W6" s="120">
        <v>49667</v>
      </c>
      <c r="X6" s="120">
        <v>43881</v>
      </c>
      <c r="Y6" s="120">
        <v>35665</v>
      </c>
      <c r="Z6" s="120">
        <v>49509</v>
      </c>
      <c r="AA6" s="120">
        <v>38895</v>
      </c>
      <c r="AB6" s="120">
        <v>38010</v>
      </c>
      <c r="AC6" s="120">
        <v>52880</v>
      </c>
      <c r="AD6" s="120">
        <v>40125</v>
      </c>
      <c r="AE6" s="120">
        <v>45095</v>
      </c>
      <c r="AF6" s="120">
        <v>63975</v>
      </c>
      <c r="AG6" s="120">
        <v>40125</v>
      </c>
      <c r="AH6" s="120">
        <v>47202</v>
      </c>
      <c r="AI6" s="120">
        <v>124171</v>
      </c>
      <c r="AJ6" s="120">
        <v>42738</v>
      </c>
      <c r="AK6" s="120">
        <v>35190</v>
      </c>
      <c r="AL6" s="120">
        <v>34632</v>
      </c>
      <c r="AM6" s="120">
        <v>38402</v>
      </c>
      <c r="AN6" s="120">
        <v>32312</v>
      </c>
      <c r="AO6" s="120">
        <v>31967</v>
      </c>
      <c r="AP6" s="296"/>
      <c r="AQ6" s="296"/>
    </row>
    <row r="7" spans="1:43" s="1" customFormat="1" x14ac:dyDescent="0.25">
      <c r="A7" s="245" t="s">
        <v>48</v>
      </c>
      <c r="B7" s="29">
        <v>759912</v>
      </c>
      <c r="C7" s="29">
        <v>1045867</v>
      </c>
      <c r="D7" s="29">
        <v>890541</v>
      </c>
      <c r="E7" s="29">
        <v>673614</v>
      </c>
      <c r="F7" s="29">
        <v>489831</v>
      </c>
      <c r="G7" s="29">
        <v>431519</v>
      </c>
      <c r="H7" s="29">
        <v>428120</v>
      </c>
      <c r="I7" s="29">
        <v>370395</v>
      </c>
      <c r="J7" s="29">
        <v>257007</v>
      </c>
      <c r="K7" s="122">
        <v>375479</v>
      </c>
      <c r="L7" s="122">
        <v>171183</v>
      </c>
      <c r="M7" s="122">
        <v>534381</v>
      </c>
      <c r="N7" s="122">
        <v>369997</v>
      </c>
      <c r="O7" s="122">
        <v>597805</v>
      </c>
      <c r="P7" s="122">
        <v>566959</v>
      </c>
      <c r="Q7" s="122">
        <v>560251</v>
      </c>
      <c r="R7" s="122">
        <v>577891</v>
      </c>
      <c r="S7" s="122">
        <v>576051</v>
      </c>
      <c r="T7" s="122">
        <v>363493</v>
      </c>
      <c r="U7" s="122">
        <v>353151</v>
      </c>
      <c r="V7" s="122">
        <v>494234</v>
      </c>
      <c r="W7" s="122">
        <v>598852</v>
      </c>
      <c r="X7" s="122">
        <v>269746</v>
      </c>
      <c r="Y7" s="122">
        <v>241528</v>
      </c>
      <c r="Z7" s="122">
        <v>279559</v>
      </c>
      <c r="AA7" s="122">
        <v>103556</v>
      </c>
      <c r="AB7" s="122">
        <v>196404</v>
      </c>
      <c r="AC7" s="122">
        <v>143646</v>
      </c>
      <c r="AD7" s="122">
        <v>220356</v>
      </c>
      <c r="AE7" s="122">
        <v>255469</v>
      </c>
      <c r="AF7" s="122">
        <v>358980</v>
      </c>
      <c r="AG7" s="122">
        <v>220356</v>
      </c>
      <c r="AH7" s="122">
        <v>449223</v>
      </c>
      <c r="AI7" s="122">
        <v>413343</v>
      </c>
      <c r="AJ7" s="122">
        <v>475316</v>
      </c>
      <c r="AK7" s="122">
        <v>672830</v>
      </c>
      <c r="AL7" s="122">
        <v>206904</v>
      </c>
      <c r="AM7" s="122">
        <v>271979</v>
      </c>
      <c r="AN7" s="122">
        <v>117443</v>
      </c>
      <c r="AO7" s="122">
        <v>114446</v>
      </c>
      <c r="AP7" s="296"/>
      <c r="AQ7" s="296"/>
    </row>
    <row r="8" spans="1:43" s="1" customFormat="1" x14ac:dyDescent="0.25">
      <c r="A8" s="246" t="s">
        <v>49</v>
      </c>
      <c r="B8" s="120">
        <v>1034710</v>
      </c>
      <c r="C8" s="120">
        <v>1049456</v>
      </c>
      <c r="D8" s="120">
        <v>1083976</v>
      </c>
      <c r="E8" s="120">
        <v>1164509</v>
      </c>
      <c r="F8" s="120">
        <v>1176718</v>
      </c>
      <c r="G8" s="120">
        <v>1201519</v>
      </c>
      <c r="H8" s="120">
        <v>1197099</v>
      </c>
      <c r="I8" s="120">
        <v>1210981</v>
      </c>
      <c r="J8" s="120">
        <v>1150754</v>
      </c>
      <c r="K8" s="120">
        <v>1167752</v>
      </c>
      <c r="L8" s="120">
        <v>1115374</v>
      </c>
      <c r="M8" s="120">
        <v>1108689</v>
      </c>
      <c r="N8" s="120">
        <v>1084912</v>
      </c>
      <c r="O8" s="120">
        <v>1064725</v>
      </c>
      <c r="P8" s="120">
        <v>986625</v>
      </c>
      <c r="Q8" s="120">
        <v>1001037</v>
      </c>
      <c r="R8" s="120">
        <v>921035</v>
      </c>
      <c r="S8" s="120">
        <v>923360</v>
      </c>
      <c r="T8" s="120">
        <v>851583</v>
      </c>
      <c r="U8" s="120">
        <v>787214</v>
      </c>
      <c r="V8" s="120">
        <v>753805</v>
      </c>
      <c r="W8" s="120">
        <v>725637</v>
      </c>
      <c r="X8" s="120">
        <v>706831</v>
      </c>
      <c r="Y8" s="120">
        <v>661028</v>
      </c>
      <c r="Z8" s="120">
        <v>686085</v>
      </c>
      <c r="AA8" s="120">
        <v>696852</v>
      </c>
      <c r="AB8" s="120">
        <v>696141</v>
      </c>
      <c r="AC8" s="120">
        <v>711839</v>
      </c>
      <c r="AD8" s="120">
        <v>697105</v>
      </c>
      <c r="AE8" s="120">
        <v>644910</v>
      </c>
      <c r="AF8" s="120">
        <v>604621</v>
      </c>
      <c r="AG8" s="120">
        <v>697105</v>
      </c>
      <c r="AH8" s="120">
        <v>578853</v>
      </c>
      <c r="AI8" s="120">
        <v>550737</v>
      </c>
      <c r="AJ8" s="120">
        <v>519273</v>
      </c>
      <c r="AK8" s="120">
        <v>511148</v>
      </c>
      <c r="AL8" s="120">
        <v>471797</v>
      </c>
      <c r="AM8" s="120">
        <v>489097</v>
      </c>
      <c r="AN8" s="120">
        <v>478645</v>
      </c>
      <c r="AO8" s="120">
        <v>463269</v>
      </c>
      <c r="AP8" s="296"/>
      <c r="AQ8" s="296"/>
    </row>
    <row r="9" spans="1:43" s="1" customFormat="1" x14ac:dyDescent="0.25">
      <c r="A9" s="247" t="s">
        <v>50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161349</v>
      </c>
      <c r="K9" s="122">
        <v>50282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122">
        <v>0</v>
      </c>
      <c r="AC9" s="122">
        <v>0</v>
      </c>
      <c r="AD9" s="122">
        <v>0</v>
      </c>
      <c r="AE9" s="122">
        <v>0</v>
      </c>
      <c r="AF9" s="122">
        <v>0</v>
      </c>
      <c r="AG9" s="122">
        <v>0</v>
      </c>
      <c r="AH9" s="122">
        <v>0</v>
      </c>
      <c r="AI9" s="122">
        <v>0</v>
      </c>
      <c r="AJ9" s="122">
        <v>0</v>
      </c>
      <c r="AK9" s="122">
        <v>0</v>
      </c>
      <c r="AL9" s="122">
        <v>0</v>
      </c>
      <c r="AM9" s="122">
        <v>0</v>
      </c>
      <c r="AN9" s="122">
        <v>0</v>
      </c>
      <c r="AO9" s="122">
        <v>0</v>
      </c>
      <c r="AP9" s="296"/>
      <c r="AQ9" s="296"/>
    </row>
    <row r="10" spans="1:43" s="1" customFormat="1" x14ac:dyDescent="0.25">
      <c r="A10" s="389" t="s">
        <v>58</v>
      </c>
      <c r="B10" s="32">
        <v>8332</v>
      </c>
      <c r="C10" s="32">
        <v>0</v>
      </c>
      <c r="D10" s="32">
        <v>0</v>
      </c>
      <c r="E10" s="32"/>
      <c r="F10" s="32"/>
      <c r="G10" s="32"/>
      <c r="H10" s="32"/>
      <c r="I10" s="32"/>
      <c r="J10" s="32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296"/>
      <c r="AQ10" s="296"/>
    </row>
    <row r="11" spans="1:43" s="1" customFormat="1" x14ac:dyDescent="0.25">
      <c r="A11" s="245" t="s">
        <v>51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20861</v>
      </c>
      <c r="AG11" s="122">
        <v>0</v>
      </c>
      <c r="AH11" s="122">
        <v>20135</v>
      </c>
      <c r="AI11" s="122">
        <v>63161</v>
      </c>
      <c r="AJ11" s="122">
        <v>67410</v>
      </c>
      <c r="AK11" s="122">
        <v>0</v>
      </c>
      <c r="AL11" s="122">
        <v>0</v>
      </c>
      <c r="AM11" s="122">
        <v>0</v>
      </c>
      <c r="AN11" s="122">
        <v>0</v>
      </c>
      <c r="AO11" s="122"/>
      <c r="AP11" s="296"/>
      <c r="AQ11" s="296"/>
    </row>
    <row r="12" spans="1:43" s="1" customFormat="1" x14ac:dyDescent="0.25">
      <c r="A12" s="246" t="s">
        <v>52</v>
      </c>
      <c r="B12" s="120">
        <v>62603</v>
      </c>
      <c r="C12" s="120">
        <v>64523</v>
      </c>
      <c r="D12" s="120">
        <v>62809</v>
      </c>
      <c r="E12" s="120">
        <v>62713</v>
      </c>
      <c r="F12" s="120">
        <v>57214</v>
      </c>
      <c r="G12" s="120">
        <v>54107</v>
      </c>
      <c r="H12" s="120">
        <v>53244</v>
      </c>
      <c r="I12" s="120">
        <v>50235</v>
      </c>
      <c r="J12" s="120">
        <v>46722</v>
      </c>
      <c r="K12" s="120">
        <v>41260</v>
      </c>
      <c r="L12" s="120">
        <v>42513</v>
      </c>
      <c r="M12" s="120">
        <v>43304</v>
      </c>
      <c r="N12" s="120">
        <v>43912</v>
      </c>
      <c r="O12" s="120">
        <v>42577</v>
      </c>
      <c r="P12" s="120">
        <v>40793</v>
      </c>
      <c r="Q12" s="120">
        <v>39768</v>
      </c>
      <c r="R12" s="120">
        <v>39774</v>
      </c>
      <c r="S12" s="120">
        <v>43286</v>
      </c>
      <c r="T12" s="120">
        <v>46159</v>
      </c>
      <c r="U12" s="120">
        <v>45723</v>
      </c>
      <c r="V12" s="120">
        <v>46038</v>
      </c>
      <c r="W12" s="120">
        <v>44512</v>
      </c>
      <c r="X12" s="120">
        <v>42336</v>
      </c>
      <c r="Y12" s="120">
        <v>41988</v>
      </c>
      <c r="Z12" s="120">
        <v>41251</v>
      </c>
      <c r="AA12" s="120">
        <v>36850</v>
      </c>
      <c r="AB12" s="120">
        <v>36915</v>
      </c>
      <c r="AC12" s="120">
        <v>34327</v>
      </c>
      <c r="AD12" s="120">
        <v>34486</v>
      </c>
      <c r="AE12" s="120">
        <v>33000</v>
      </c>
      <c r="AF12" s="120">
        <v>31576</v>
      </c>
      <c r="AG12" s="120">
        <v>34486</v>
      </c>
      <c r="AH12" s="120">
        <v>33121</v>
      </c>
      <c r="AI12" s="120">
        <v>32331</v>
      </c>
      <c r="AJ12" s="120">
        <v>30787</v>
      </c>
      <c r="AK12" s="120">
        <v>31473</v>
      </c>
      <c r="AL12" s="120">
        <v>29074</v>
      </c>
      <c r="AM12" s="120">
        <v>27456</v>
      </c>
      <c r="AN12" s="120">
        <v>27371</v>
      </c>
      <c r="AO12" s="120">
        <v>26989</v>
      </c>
      <c r="AP12" s="296"/>
      <c r="AQ12" s="296"/>
    </row>
    <row r="13" spans="1:43" s="1" customFormat="1" x14ac:dyDescent="0.25">
      <c r="A13" s="247" t="s">
        <v>53</v>
      </c>
      <c r="B13" s="122">
        <v>18381</v>
      </c>
      <c r="C13" s="122">
        <v>30168</v>
      </c>
      <c r="D13" s="122">
        <v>30168</v>
      </c>
      <c r="E13" s="122">
        <v>30173</v>
      </c>
      <c r="F13" s="122">
        <v>30173</v>
      </c>
      <c r="G13" s="122">
        <v>1505</v>
      </c>
      <c r="H13" s="122">
        <v>29928</v>
      </c>
      <c r="I13" s="122">
        <v>29928</v>
      </c>
      <c r="J13" s="122">
        <v>29928</v>
      </c>
      <c r="K13" s="122">
        <v>16288</v>
      </c>
      <c r="L13" s="122">
        <v>16695</v>
      </c>
      <c r="M13" s="122">
        <v>16763</v>
      </c>
      <c r="N13" s="122">
        <v>16288</v>
      </c>
      <c r="O13" s="122">
        <v>23220</v>
      </c>
      <c r="P13" s="122">
        <v>25859</v>
      </c>
      <c r="Q13" s="122">
        <v>23514</v>
      </c>
      <c r="R13" s="122">
        <v>25311</v>
      </c>
      <c r="S13" s="122">
        <v>707</v>
      </c>
      <c r="T13" s="122">
        <v>32186</v>
      </c>
      <c r="U13" s="122">
        <v>35817</v>
      </c>
      <c r="V13" s="122">
        <v>39674</v>
      </c>
      <c r="W13" s="122">
        <v>28675</v>
      </c>
      <c r="X13" s="122">
        <v>40801</v>
      </c>
      <c r="Y13" s="122">
        <v>25224</v>
      </c>
      <c r="Z13" s="122">
        <v>19829</v>
      </c>
      <c r="AA13" s="122">
        <v>11726</v>
      </c>
      <c r="AB13" s="122">
        <v>23283</v>
      </c>
      <c r="AC13" s="122">
        <v>23468</v>
      </c>
      <c r="AD13" s="122">
        <v>23283</v>
      </c>
      <c r="AE13" s="122">
        <v>12923</v>
      </c>
      <c r="AF13" s="122">
        <v>21377</v>
      </c>
      <c r="AG13" s="122">
        <v>23283</v>
      </c>
      <c r="AH13" s="122">
        <v>21171</v>
      </c>
      <c r="AI13" s="122">
        <v>28884</v>
      </c>
      <c r="AJ13" s="122">
        <v>42243</v>
      </c>
      <c r="AK13" s="122">
        <v>36236</v>
      </c>
      <c r="AL13" s="122">
        <v>36236</v>
      </c>
      <c r="AM13" s="122">
        <v>30884</v>
      </c>
      <c r="AN13" s="122">
        <v>33249</v>
      </c>
      <c r="AO13" s="122">
        <v>31230</v>
      </c>
      <c r="AP13" s="296"/>
      <c r="AQ13" s="296"/>
    </row>
    <row r="14" spans="1:43" s="1" customFormat="1" x14ac:dyDescent="0.25">
      <c r="A14" s="244" t="s">
        <v>55</v>
      </c>
      <c r="B14" s="32">
        <v>16152</v>
      </c>
      <c r="C14" s="32">
        <v>17868</v>
      </c>
      <c r="D14" s="32">
        <v>15584</v>
      </c>
      <c r="E14" s="32">
        <v>15760</v>
      </c>
      <c r="F14" s="32">
        <v>471</v>
      </c>
      <c r="G14" s="32">
        <v>107635</v>
      </c>
      <c r="H14" s="32">
        <v>110574</v>
      </c>
      <c r="I14" s="32">
        <v>108508</v>
      </c>
      <c r="J14" s="32">
        <v>109142</v>
      </c>
      <c r="K14" s="120">
        <v>92406</v>
      </c>
      <c r="L14" s="120">
        <v>89613</v>
      </c>
      <c r="M14" s="120">
        <v>87386</v>
      </c>
      <c r="N14" s="120">
        <v>79993</v>
      </c>
      <c r="O14" s="120">
        <v>67717</v>
      </c>
      <c r="P14" s="120">
        <v>46396</v>
      </c>
      <c r="Q14" s="120">
        <v>26856</v>
      </c>
      <c r="R14" s="120">
        <v>34462</v>
      </c>
      <c r="S14" s="120">
        <v>10387</v>
      </c>
      <c r="T14" s="120">
        <v>39333</v>
      </c>
      <c r="U14" s="120">
        <v>30066</v>
      </c>
      <c r="V14" s="120">
        <v>41736</v>
      </c>
      <c r="W14" s="120">
        <v>46006</v>
      </c>
      <c r="X14" s="120">
        <v>43848</v>
      </c>
      <c r="Y14" s="120">
        <v>40067</v>
      </c>
      <c r="Z14" s="120">
        <v>37394</v>
      </c>
      <c r="AA14" s="120">
        <v>24006</v>
      </c>
      <c r="AB14" s="120">
        <v>11275</v>
      </c>
      <c r="AC14" s="120">
        <v>629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5085</v>
      </c>
      <c r="AM14" s="120">
        <v>3561</v>
      </c>
      <c r="AN14" s="120">
        <v>2560</v>
      </c>
      <c r="AO14" s="120">
        <v>2593</v>
      </c>
      <c r="AP14" s="296"/>
      <c r="AQ14" s="296"/>
    </row>
    <row r="15" spans="1:43" s="1" customFormat="1" x14ac:dyDescent="0.25">
      <c r="A15" s="245" t="s">
        <v>56</v>
      </c>
      <c r="B15" s="29">
        <v>24452</v>
      </c>
      <c r="C15" s="29">
        <v>17346</v>
      </c>
      <c r="D15" s="29">
        <v>17582</v>
      </c>
      <c r="E15" s="29">
        <v>17717</v>
      </c>
      <c r="F15" s="29">
        <v>20190</v>
      </c>
      <c r="G15" s="29">
        <v>8831</v>
      </c>
      <c r="H15" s="29">
        <v>9344</v>
      </c>
      <c r="I15" s="29">
        <v>8545</v>
      </c>
      <c r="J15" s="29">
        <v>8048</v>
      </c>
      <c r="K15" s="122">
        <v>11891</v>
      </c>
      <c r="L15" s="122">
        <v>16512</v>
      </c>
      <c r="M15" s="122">
        <v>16551</v>
      </c>
      <c r="N15" s="122">
        <v>23153</v>
      </c>
      <c r="O15" s="122">
        <v>29740</v>
      </c>
      <c r="P15" s="122">
        <v>44375</v>
      </c>
      <c r="Q15" s="122">
        <v>50782</v>
      </c>
      <c r="R15" s="122">
        <v>37214</v>
      </c>
      <c r="S15" s="122">
        <v>38652</v>
      </c>
      <c r="T15" s="122">
        <v>34011</v>
      </c>
      <c r="U15" s="122">
        <v>35380</v>
      </c>
      <c r="V15" s="122">
        <v>27442</v>
      </c>
      <c r="W15" s="122">
        <v>20977</v>
      </c>
      <c r="X15" s="122">
        <v>24022</v>
      </c>
      <c r="Y15" s="122">
        <v>23520</v>
      </c>
      <c r="Z15" s="122">
        <v>24493</v>
      </c>
      <c r="AA15" s="122">
        <v>38943</v>
      </c>
      <c r="AB15" s="122">
        <v>41775</v>
      </c>
      <c r="AC15" s="122">
        <v>32804</v>
      </c>
      <c r="AD15" s="122">
        <v>36688</v>
      </c>
      <c r="AE15" s="122">
        <v>42432</v>
      </c>
      <c r="AF15" s="122">
        <v>55152</v>
      </c>
      <c r="AG15" s="122">
        <v>36688</v>
      </c>
      <c r="AH15" s="122">
        <v>47480</v>
      </c>
      <c r="AI15" s="122">
        <v>48508</v>
      </c>
      <c r="AJ15" s="122">
        <v>49222</v>
      </c>
      <c r="AK15" s="122">
        <v>12098</v>
      </c>
      <c r="AL15" s="122">
        <v>9161</v>
      </c>
      <c r="AM15" s="122">
        <v>10857</v>
      </c>
      <c r="AN15" s="122">
        <v>10365</v>
      </c>
      <c r="AO15" s="122">
        <v>10077</v>
      </c>
      <c r="AP15" s="296"/>
      <c r="AQ15" s="296"/>
    </row>
    <row r="16" spans="1:43" s="1" customFormat="1" x14ac:dyDescent="0.25">
      <c r="A16" s="246" t="s">
        <v>57</v>
      </c>
      <c r="B16" s="120">
        <v>23486</v>
      </c>
      <c r="C16" s="120">
        <v>26473</v>
      </c>
      <c r="D16" s="120">
        <v>21839</v>
      </c>
      <c r="E16" s="120">
        <v>17216</v>
      </c>
      <c r="F16" s="120">
        <v>21934</v>
      </c>
      <c r="G16" s="120">
        <v>23640</v>
      </c>
      <c r="H16" s="120">
        <v>25768</v>
      </c>
      <c r="I16" s="120">
        <v>17562</v>
      </c>
      <c r="J16" s="120">
        <v>21537</v>
      </c>
      <c r="K16" s="120">
        <v>21848</v>
      </c>
      <c r="L16" s="120">
        <v>16924</v>
      </c>
      <c r="M16" s="120">
        <v>13740</v>
      </c>
      <c r="N16" s="120">
        <v>16380</v>
      </c>
      <c r="O16" s="120">
        <v>18342</v>
      </c>
      <c r="P16" s="120">
        <v>19823</v>
      </c>
      <c r="Q16" s="120">
        <v>12848</v>
      </c>
      <c r="R16" s="120">
        <v>17030</v>
      </c>
      <c r="S16" s="120">
        <v>16149</v>
      </c>
      <c r="T16" s="120">
        <v>12854</v>
      </c>
      <c r="U16" s="120">
        <v>13274</v>
      </c>
      <c r="V16" s="120">
        <v>14194</v>
      </c>
      <c r="W16" s="120">
        <v>27904</v>
      </c>
      <c r="X16" s="120">
        <v>33806</v>
      </c>
      <c r="Y16" s="120">
        <v>30488</v>
      </c>
      <c r="Z16" s="120">
        <v>31789</v>
      </c>
      <c r="AA16" s="120">
        <v>32330</v>
      </c>
      <c r="AB16" s="120">
        <v>31299</v>
      </c>
      <c r="AC16" s="120">
        <v>24929</v>
      </c>
      <c r="AD16" s="120">
        <v>27665</v>
      </c>
      <c r="AE16" s="120">
        <v>33904</v>
      </c>
      <c r="AF16" s="120">
        <v>27135</v>
      </c>
      <c r="AG16" s="120">
        <v>27665</v>
      </c>
      <c r="AH16" s="120">
        <v>22991</v>
      </c>
      <c r="AI16" s="120">
        <v>20655</v>
      </c>
      <c r="AJ16" s="120">
        <v>19641</v>
      </c>
      <c r="AK16" s="120">
        <v>17478</v>
      </c>
      <c r="AL16" s="120">
        <v>21741</v>
      </c>
      <c r="AM16" s="120">
        <v>15877</v>
      </c>
      <c r="AN16" s="120">
        <v>13315</v>
      </c>
      <c r="AO16" s="120">
        <v>11311</v>
      </c>
      <c r="AP16" s="296"/>
      <c r="AQ16" s="296"/>
    </row>
    <row r="17" spans="1:43" s="1" customFormat="1" x14ac:dyDescent="0.25">
      <c r="A17" s="247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296"/>
      <c r="AQ17" s="296"/>
    </row>
    <row r="18" spans="1:43" s="1" customFormat="1" ht="15.75" x14ac:dyDescent="0.25">
      <c r="A18" s="193" t="s">
        <v>399</v>
      </c>
      <c r="B18" s="116">
        <f t="shared" ref="B18:G18" si="0">SUM(B6:B17)</f>
        <v>1974493</v>
      </c>
      <c r="C18" s="116">
        <f t="shared" si="0"/>
        <v>2276497</v>
      </c>
      <c r="D18" s="116">
        <f t="shared" si="0"/>
        <v>2145137</v>
      </c>
      <c r="E18" s="116">
        <f t="shared" si="0"/>
        <v>2002866</v>
      </c>
      <c r="F18" s="116">
        <f t="shared" si="0"/>
        <v>1828004</v>
      </c>
      <c r="G18" s="116">
        <f t="shared" si="0"/>
        <v>1879787</v>
      </c>
      <c r="H18" s="116">
        <f t="shared" ref="H18:AO18" si="1">SUM(H6:H17)</f>
        <v>1890465</v>
      </c>
      <c r="I18" s="116">
        <f t="shared" si="1"/>
        <v>1827505</v>
      </c>
      <c r="J18" s="116">
        <f t="shared" si="1"/>
        <v>1824998</v>
      </c>
      <c r="K18" s="116">
        <f t="shared" si="1"/>
        <v>1811654</v>
      </c>
      <c r="L18" s="116">
        <f t="shared" si="1"/>
        <v>1493871</v>
      </c>
      <c r="M18" s="116">
        <f t="shared" si="1"/>
        <v>1856915</v>
      </c>
      <c r="N18" s="116">
        <f t="shared" si="1"/>
        <v>1670211</v>
      </c>
      <c r="O18" s="116">
        <f t="shared" si="1"/>
        <v>1863861</v>
      </c>
      <c r="P18" s="116">
        <f t="shared" si="1"/>
        <v>1749438</v>
      </c>
      <c r="Q18" s="116">
        <f t="shared" si="1"/>
        <v>1731534</v>
      </c>
      <c r="R18" s="116">
        <f t="shared" si="1"/>
        <v>1696499</v>
      </c>
      <c r="S18" s="116">
        <f t="shared" si="1"/>
        <v>1649965</v>
      </c>
      <c r="T18" s="116">
        <f t="shared" si="1"/>
        <v>1420343</v>
      </c>
      <c r="U18" s="116">
        <f t="shared" si="1"/>
        <v>1341875</v>
      </c>
      <c r="V18" s="116">
        <f t="shared" si="1"/>
        <v>1479974</v>
      </c>
      <c r="W18" s="116">
        <f t="shared" si="1"/>
        <v>1542230</v>
      </c>
      <c r="X18" s="116">
        <f t="shared" si="1"/>
        <v>1205271</v>
      </c>
      <c r="Y18" s="116">
        <f t="shared" si="1"/>
        <v>1099508</v>
      </c>
      <c r="Z18" s="116">
        <f t="shared" si="1"/>
        <v>1169909</v>
      </c>
      <c r="AA18" s="116">
        <f t="shared" si="1"/>
        <v>983158</v>
      </c>
      <c r="AB18" s="116">
        <f t="shared" si="1"/>
        <v>1075102</v>
      </c>
      <c r="AC18" s="116">
        <f t="shared" si="1"/>
        <v>1024522</v>
      </c>
      <c r="AD18" s="116">
        <f t="shared" si="1"/>
        <v>1079708</v>
      </c>
      <c r="AE18" s="116">
        <f t="shared" si="1"/>
        <v>1067733</v>
      </c>
      <c r="AF18" s="116">
        <f t="shared" si="1"/>
        <v>1183677</v>
      </c>
      <c r="AG18" s="116">
        <f t="shared" si="1"/>
        <v>1079708</v>
      </c>
      <c r="AH18" s="116">
        <f t="shared" si="1"/>
        <v>1220176</v>
      </c>
      <c r="AI18" s="116">
        <f t="shared" si="1"/>
        <v>1281790</v>
      </c>
      <c r="AJ18" s="116">
        <f t="shared" si="1"/>
        <v>1246630</v>
      </c>
      <c r="AK18" s="116">
        <f t="shared" si="1"/>
        <v>1316453</v>
      </c>
      <c r="AL18" s="116">
        <f t="shared" si="1"/>
        <v>814630</v>
      </c>
      <c r="AM18" s="116">
        <f t="shared" si="1"/>
        <v>888113</v>
      </c>
      <c r="AN18" s="116">
        <f t="shared" si="1"/>
        <v>715260</v>
      </c>
      <c r="AO18" s="116">
        <f t="shared" si="1"/>
        <v>691882</v>
      </c>
      <c r="AP18" s="296"/>
      <c r="AQ18" s="296"/>
    </row>
    <row r="19" spans="1:43" s="296" customFormat="1" ht="15.75" x14ac:dyDescent="0.25">
      <c r="A19" s="383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</row>
    <row r="20" spans="1:43" s="1" customFormat="1" ht="15.75" x14ac:dyDescent="0.25">
      <c r="A20" s="193" t="s">
        <v>372</v>
      </c>
      <c r="B20" s="193"/>
      <c r="C20" s="193"/>
      <c r="D20" s="193"/>
      <c r="E20" s="193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296"/>
      <c r="AQ20" s="296"/>
    </row>
    <row r="21" spans="1:43" s="1" customFormat="1" x14ac:dyDescent="0.25">
      <c r="A21" s="4"/>
      <c r="B21" s="4"/>
      <c r="C21" s="4"/>
      <c r="D21" s="4"/>
      <c r="E21" s="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296"/>
      <c r="AQ21" s="296"/>
    </row>
    <row r="22" spans="1:43" s="1" customFormat="1" x14ac:dyDescent="0.25">
      <c r="A22" s="246" t="s">
        <v>303</v>
      </c>
      <c r="B22" s="246"/>
      <c r="C22" s="246"/>
      <c r="D22" s="246"/>
      <c r="E22" s="246"/>
      <c r="F22" s="120"/>
      <c r="G22" s="120"/>
      <c r="H22" s="120"/>
      <c r="I22" s="120"/>
      <c r="J22" s="120"/>
      <c r="K22" s="120"/>
      <c r="L22" s="120"/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296"/>
      <c r="AQ22" s="296"/>
    </row>
    <row r="23" spans="1:43" s="1" customFormat="1" x14ac:dyDescent="0.25">
      <c r="A23" s="248" t="s">
        <v>49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12994</v>
      </c>
      <c r="K23" s="122">
        <v>30823</v>
      </c>
      <c r="L23" s="122">
        <v>48588</v>
      </c>
      <c r="M23" s="122">
        <v>65807</v>
      </c>
      <c r="N23" s="122">
        <v>82478</v>
      </c>
      <c r="O23" s="122">
        <v>95788</v>
      </c>
      <c r="P23" s="122">
        <v>110921</v>
      </c>
      <c r="Q23" s="122">
        <v>125524</v>
      </c>
      <c r="R23" s="122">
        <v>139595</v>
      </c>
      <c r="S23" s="122">
        <v>143682</v>
      </c>
      <c r="T23" s="122">
        <v>155888</v>
      </c>
      <c r="U23" s="122">
        <v>167597</v>
      </c>
      <c r="V23" s="122">
        <v>178807</v>
      </c>
      <c r="W23" s="122">
        <v>171184</v>
      </c>
      <c r="X23" s="122">
        <v>180410</v>
      </c>
      <c r="Y23" s="122">
        <v>189185</v>
      </c>
      <c r="Z23" s="122">
        <v>197511</v>
      </c>
      <c r="AA23" s="122">
        <v>192924</v>
      </c>
      <c r="AB23" s="122">
        <v>199898</v>
      </c>
      <c r="AC23" s="122">
        <v>206451</v>
      </c>
      <c r="AD23" s="122">
        <v>212580</v>
      </c>
      <c r="AE23" s="122">
        <v>206222</v>
      </c>
      <c r="AF23" s="122">
        <v>211214</v>
      </c>
      <c r="AG23" s="122">
        <v>212580</v>
      </c>
      <c r="AH23" s="122">
        <v>220000</v>
      </c>
      <c r="AI23" s="122">
        <v>211566</v>
      </c>
      <c r="AJ23" s="122">
        <v>214775</v>
      </c>
      <c r="AK23" s="122">
        <v>217606</v>
      </c>
      <c r="AL23" s="122">
        <v>220060</v>
      </c>
      <c r="AM23" s="122">
        <v>208462</v>
      </c>
      <c r="AN23" s="122">
        <v>210056</v>
      </c>
      <c r="AO23" s="122">
        <v>211296</v>
      </c>
      <c r="AP23" s="296"/>
      <c r="AQ23" s="296"/>
    </row>
    <row r="24" spans="1:43" s="1" customFormat="1" x14ac:dyDescent="0.25">
      <c r="A24" s="249" t="s">
        <v>58</v>
      </c>
      <c r="B24" s="120">
        <v>191642</v>
      </c>
      <c r="C24" s="120">
        <f>'[1]Quadro 1'!$B$28</f>
        <v>202966</v>
      </c>
      <c r="D24" s="120">
        <v>197758</v>
      </c>
      <c r="E24" s="120">
        <v>186426</v>
      </c>
      <c r="F24" s="120">
        <v>180770</v>
      </c>
      <c r="G24" s="120">
        <v>188078</v>
      </c>
      <c r="H24" s="120">
        <v>179716</v>
      </c>
      <c r="I24" s="120">
        <v>183401</v>
      </c>
      <c r="J24" s="120">
        <v>188442</v>
      </c>
      <c r="K24" s="120">
        <v>186651</v>
      </c>
      <c r="L24" s="120">
        <v>184760</v>
      </c>
      <c r="M24" s="120">
        <v>172738</v>
      </c>
      <c r="N24" s="120">
        <v>172181</v>
      </c>
      <c r="O24" s="120">
        <v>169189</v>
      </c>
      <c r="P24" s="120">
        <v>171321</v>
      </c>
      <c r="Q24" s="120">
        <v>164996</v>
      </c>
      <c r="R24" s="120">
        <v>169711</v>
      </c>
      <c r="S24" s="120">
        <v>174809</v>
      </c>
      <c r="T24" s="120">
        <v>188144</v>
      </c>
      <c r="U24" s="120">
        <v>193918</v>
      </c>
      <c r="V24" s="120">
        <v>201704</v>
      </c>
      <c r="W24" s="120">
        <v>199575</v>
      </c>
      <c r="X24" s="120">
        <v>168490</v>
      </c>
      <c r="Y24" s="120">
        <v>164674</v>
      </c>
      <c r="Z24" s="120">
        <v>137208</v>
      </c>
      <c r="AA24" s="120">
        <v>128389</v>
      </c>
      <c r="AB24" s="120">
        <v>117711</v>
      </c>
      <c r="AC24" s="120">
        <v>133528</v>
      </c>
      <c r="AD24" s="120">
        <v>133410</v>
      </c>
      <c r="AE24" s="120">
        <v>132622</v>
      </c>
      <c r="AF24" s="120">
        <v>131832</v>
      </c>
      <c r="AG24" s="120">
        <v>133410</v>
      </c>
      <c r="AH24" s="120">
        <v>132961</v>
      </c>
      <c r="AI24" s="120">
        <v>133706</v>
      </c>
      <c r="AJ24" s="120">
        <v>135831</v>
      </c>
      <c r="AK24" s="120">
        <v>129342</v>
      </c>
      <c r="AL24" s="120">
        <v>131778</v>
      </c>
      <c r="AM24" s="120">
        <v>111058</v>
      </c>
      <c r="AN24" s="120">
        <v>107367</v>
      </c>
      <c r="AO24" s="120">
        <v>104532</v>
      </c>
      <c r="AP24" s="296"/>
      <c r="AQ24" s="296"/>
    </row>
    <row r="25" spans="1:43" s="1" customFormat="1" x14ac:dyDescent="0.25">
      <c r="A25" s="248" t="s">
        <v>59</v>
      </c>
      <c r="B25" s="122">
        <v>75715</v>
      </c>
      <c r="C25" s="122">
        <f>'[1]Quadro 1'!$B$29</f>
        <v>82431</v>
      </c>
      <c r="D25" s="122">
        <v>86499</v>
      </c>
      <c r="E25" s="122">
        <v>86105</v>
      </c>
      <c r="F25" s="122">
        <v>85268</v>
      </c>
      <c r="G25" s="122">
        <v>84628</v>
      </c>
      <c r="H25" s="122">
        <v>83694</v>
      </c>
      <c r="I25" s="122">
        <v>83119</v>
      </c>
      <c r="J25" s="122">
        <v>81943</v>
      </c>
      <c r="K25" s="122">
        <v>81113</v>
      </c>
      <c r="L25" s="122">
        <v>79909</v>
      </c>
      <c r="M25" s="122">
        <v>79096</v>
      </c>
      <c r="N25" s="122">
        <v>76196</v>
      </c>
      <c r="O25" s="122">
        <v>80646</v>
      </c>
      <c r="P25" s="122">
        <v>78906</v>
      </c>
      <c r="Q25" s="122">
        <v>77641</v>
      </c>
      <c r="R25" s="122">
        <v>75395</v>
      </c>
      <c r="S25" s="122">
        <v>65035</v>
      </c>
      <c r="T25" s="122">
        <v>64487</v>
      </c>
      <c r="U25" s="122">
        <v>64580</v>
      </c>
      <c r="V25" s="122">
        <v>65609</v>
      </c>
      <c r="W25" s="122">
        <v>65607</v>
      </c>
      <c r="X25" s="122">
        <v>97973</v>
      </c>
      <c r="Y25" s="122">
        <v>97261</v>
      </c>
      <c r="Z25" s="122">
        <v>81774</v>
      </c>
      <c r="AA25" s="122">
        <v>97802</v>
      </c>
      <c r="AB25" s="122">
        <v>96643</v>
      </c>
      <c r="AC25" s="122">
        <v>96318</v>
      </c>
      <c r="AD25" s="122">
        <v>97380</v>
      </c>
      <c r="AE25" s="122">
        <v>140605</v>
      </c>
      <c r="AF25" s="122">
        <v>165759</v>
      </c>
      <c r="AG25" s="122">
        <v>97380</v>
      </c>
      <c r="AH25" s="122">
        <v>188661</v>
      </c>
      <c r="AI25" s="122">
        <v>198016</v>
      </c>
      <c r="AJ25" s="122">
        <v>265643</v>
      </c>
      <c r="AK25" s="122">
        <v>289812</v>
      </c>
      <c r="AL25" s="122">
        <v>328891</v>
      </c>
      <c r="AM25" s="122">
        <v>35343</v>
      </c>
      <c r="AN25" s="122">
        <v>38922</v>
      </c>
      <c r="AO25" s="122">
        <v>38180</v>
      </c>
      <c r="AP25" s="296"/>
      <c r="AQ25" s="296"/>
    </row>
    <row r="26" spans="1:43" s="1" customFormat="1" ht="30" x14ac:dyDescent="0.25">
      <c r="A26" s="249" t="s">
        <v>385</v>
      </c>
      <c r="B26" s="120">
        <v>76603</v>
      </c>
      <c r="C26" s="120">
        <f>'[1]Quadro 1'!$B$30</f>
        <v>85319</v>
      </c>
      <c r="D26" s="120">
        <v>85319</v>
      </c>
      <c r="E26" s="120">
        <v>75074</v>
      </c>
      <c r="F26" s="120">
        <v>75074</v>
      </c>
      <c r="G26" s="120">
        <v>79184</v>
      </c>
      <c r="H26" s="120">
        <v>79184</v>
      </c>
      <c r="I26" s="120">
        <v>64721</v>
      </c>
      <c r="J26" s="120">
        <v>64721</v>
      </c>
      <c r="K26" s="120">
        <v>80108</v>
      </c>
      <c r="L26" s="120">
        <v>80108</v>
      </c>
      <c r="M26" s="120">
        <v>0</v>
      </c>
      <c r="N26" s="120">
        <v>73058</v>
      </c>
      <c r="O26" s="120">
        <v>74366</v>
      </c>
      <c r="P26" s="120">
        <v>74366</v>
      </c>
      <c r="Q26" s="120">
        <v>59564</v>
      </c>
      <c r="R26" s="120">
        <v>59564</v>
      </c>
      <c r="S26" s="120">
        <v>58801</v>
      </c>
      <c r="T26" s="120">
        <v>41084</v>
      </c>
      <c r="U26" s="120">
        <v>41084</v>
      </c>
      <c r="V26" s="120">
        <v>41084</v>
      </c>
      <c r="W26" s="120">
        <v>41522</v>
      </c>
      <c r="X26" s="120">
        <v>41522</v>
      </c>
      <c r="Y26" s="120">
        <v>40748</v>
      </c>
      <c r="Z26" s="120">
        <v>40748</v>
      </c>
      <c r="AA26" s="120">
        <v>49761</v>
      </c>
      <c r="AB26" s="120">
        <v>49761</v>
      </c>
      <c r="AC26" s="120">
        <v>48638</v>
      </c>
      <c r="AD26" s="120">
        <v>48638</v>
      </c>
      <c r="AE26" s="120">
        <v>29879</v>
      </c>
      <c r="AF26" s="120">
        <v>29879</v>
      </c>
      <c r="AG26" s="120">
        <v>48638</v>
      </c>
      <c r="AH26" s="120">
        <v>0</v>
      </c>
      <c r="AI26" s="120">
        <v>27857</v>
      </c>
      <c r="AJ26" s="120">
        <v>26899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296"/>
      <c r="AQ26" s="296"/>
    </row>
    <row r="27" spans="1:43" s="1" customFormat="1" x14ac:dyDescent="0.25">
      <c r="A27" s="248" t="s">
        <v>60</v>
      </c>
      <c r="B27" s="122">
        <v>0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>
        <v>0</v>
      </c>
      <c r="AG27" s="122">
        <v>0</v>
      </c>
      <c r="AH27" s="122">
        <v>0</v>
      </c>
      <c r="AI27" s="122">
        <v>0</v>
      </c>
      <c r="AJ27" s="122">
        <v>0</v>
      </c>
      <c r="AK27" s="122">
        <v>0</v>
      </c>
      <c r="AL27" s="122">
        <v>0</v>
      </c>
      <c r="AM27" s="122">
        <v>0</v>
      </c>
      <c r="AN27" s="122">
        <v>0</v>
      </c>
      <c r="AO27" s="122">
        <v>0</v>
      </c>
      <c r="AP27" s="296"/>
      <c r="AQ27" s="296"/>
    </row>
    <row r="28" spans="1:43" s="1" customFormat="1" x14ac:dyDescent="0.25">
      <c r="A28" s="249" t="s">
        <v>61</v>
      </c>
      <c r="B28" s="120">
        <v>2125</v>
      </c>
      <c r="C28" s="120">
        <f>'[1]Quadro 1'!$B$31</f>
        <v>2125</v>
      </c>
      <c r="D28" s="120">
        <v>2125</v>
      </c>
      <c r="E28" s="120">
        <v>2125</v>
      </c>
      <c r="F28" s="120">
        <v>0</v>
      </c>
      <c r="G28" s="120">
        <v>0</v>
      </c>
      <c r="H28" s="120">
        <v>0</v>
      </c>
      <c r="I28" s="120">
        <v>0</v>
      </c>
      <c r="J28" s="32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6066</v>
      </c>
      <c r="T28" s="120">
        <v>6141</v>
      </c>
      <c r="U28" s="120">
        <v>25430</v>
      </c>
      <c r="V28" s="120">
        <v>23568</v>
      </c>
      <c r="W28" s="120">
        <v>17590</v>
      </c>
      <c r="X28" s="120">
        <v>17590</v>
      </c>
      <c r="Y28" s="120">
        <v>17012</v>
      </c>
      <c r="Z28" s="120">
        <v>16432</v>
      </c>
      <c r="AA28" s="120">
        <v>16937</v>
      </c>
      <c r="AB28" s="120">
        <v>15630</v>
      </c>
      <c r="AC28" s="120">
        <v>111594</v>
      </c>
      <c r="AD28" s="120">
        <v>109790</v>
      </c>
      <c r="AE28" s="120">
        <v>114498</v>
      </c>
      <c r="AF28" s="120">
        <v>112483</v>
      </c>
      <c r="AG28" s="120">
        <v>109790</v>
      </c>
      <c r="AH28" s="120">
        <v>20197</v>
      </c>
      <c r="AI28" s="120">
        <v>84224</v>
      </c>
      <c r="AJ28" s="120">
        <v>82727</v>
      </c>
      <c r="AK28" s="120">
        <v>77489</v>
      </c>
      <c r="AL28" s="120">
        <v>76048</v>
      </c>
      <c r="AM28" s="120">
        <v>72204</v>
      </c>
      <c r="AN28" s="120">
        <v>67723</v>
      </c>
      <c r="AO28" s="120">
        <v>63244</v>
      </c>
      <c r="AP28" s="296"/>
      <c r="AQ28" s="296"/>
    </row>
    <row r="29" spans="1:43" s="1" customFormat="1" x14ac:dyDescent="0.25">
      <c r="A29" s="248" t="s">
        <v>54</v>
      </c>
      <c r="B29" s="122">
        <v>293349</v>
      </c>
      <c r="C29" s="122">
        <f>'[1]Quadro 1'!$B$32</f>
        <v>268688</v>
      </c>
      <c r="D29" s="122">
        <v>260377</v>
      </c>
      <c r="E29" s="122">
        <v>232727</v>
      </c>
      <c r="F29" s="122">
        <v>203908</v>
      </c>
      <c r="G29" s="122">
        <v>195022</v>
      </c>
      <c r="H29" s="122">
        <v>175943</v>
      </c>
      <c r="I29" s="122">
        <v>161778</v>
      </c>
      <c r="J29" s="29">
        <v>159892</v>
      </c>
      <c r="K29" s="122">
        <v>156810</v>
      </c>
      <c r="L29" s="122">
        <v>155564</v>
      </c>
      <c r="M29" s="122">
        <v>143739</v>
      </c>
      <c r="N29" s="122">
        <v>136065</v>
      </c>
      <c r="O29" s="122">
        <v>158905</v>
      </c>
      <c r="P29" s="122">
        <v>160103</v>
      </c>
      <c r="Q29" s="122">
        <v>159433</v>
      </c>
      <c r="R29" s="122">
        <v>155219</v>
      </c>
      <c r="S29" s="122">
        <v>167501</v>
      </c>
      <c r="T29" s="122">
        <v>147458</v>
      </c>
      <c r="U29" s="122">
        <v>160023</v>
      </c>
      <c r="V29" s="122">
        <v>154248</v>
      </c>
      <c r="W29" s="122">
        <v>170569</v>
      </c>
      <c r="X29" s="122">
        <v>155755</v>
      </c>
      <c r="Y29" s="122">
        <v>155064</v>
      </c>
      <c r="Z29" s="122">
        <v>134585</v>
      </c>
      <c r="AA29" s="122">
        <v>128743</v>
      </c>
      <c r="AB29" s="122">
        <v>131364</v>
      </c>
      <c r="AC29" s="122">
        <v>123242</v>
      </c>
      <c r="AD29" s="122">
        <v>118944</v>
      </c>
      <c r="AE29" s="122">
        <v>196338</v>
      </c>
      <c r="AF29" s="122">
        <v>189117</v>
      </c>
      <c r="AG29" s="122">
        <v>118944</v>
      </c>
      <c r="AH29" s="122">
        <v>161554</v>
      </c>
      <c r="AI29" s="122">
        <v>161204</v>
      </c>
      <c r="AJ29" s="122">
        <v>150747</v>
      </c>
      <c r="AK29" s="122">
        <v>163415</v>
      </c>
      <c r="AL29" s="122">
        <v>165662</v>
      </c>
      <c r="AM29" s="122">
        <v>170616</v>
      </c>
      <c r="AN29" s="122">
        <v>169129</v>
      </c>
      <c r="AO29" s="122">
        <v>173581</v>
      </c>
      <c r="AP29" s="296"/>
      <c r="AQ29" s="296"/>
    </row>
    <row r="30" spans="1:43" s="1" customFormat="1" x14ac:dyDescent="0.25">
      <c r="A30" s="249" t="s">
        <v>62</v>
      </c>
      <c r="B30" s="120">
        <v>685561</v>
      </c>
      <c r="C30" s="120">
        <f>'[1]Quadro 1'!$B$33</f>
        <v>592939</v>
      </c>
      <c r="D30" s="120">
        <v>571731</v>
      </c>
      <c r="E30" s="120">
        <v>558714</v>
      </c>
      <c r="F30" s="120">
        <v>648892</v>
      </c>
      <c r="G30" s="120">
        <v>634769</v>
      </c>
      <c r="H30" s="120">
        <v>651925</v>
      </c>
      <c r="I30" s="120">
        <v>683417</v>
      </c>
      <c r="J30" s="32">
        <v>682828</v>
      </c>
      <c r="K30" s="120">
        <v>667937</v>
      </c>
      <c r="L30" s="120">
        <v>666751</v>
      </c>
      <c r="M30" s="120">
        <v>634924</v>
      </c>
      <c r="N30" s="120">
        <v>659147</v>
      </c>
      <c r="O30" s="120">
        <v>620919</v>
      </c>
      <c r="P30" s="120">
        <v>642473</v>
      </c>
      <c r="Q30" s="120">
        <v>632368</v>
      </c>
      <c r="R30" s="120">
        <v>604538</v>
      </c>
      <c r="S30" s="120">
        <v>575077</v>
      </c>
      <c r="T30" s="120">
        <v>569384</v>
      </c>
      <c r="U30" s="120">
        <v>581724</v>
      </c>
      <c r="V30" s="120">
        <v>574673</v>
      </c>
      <c r="W30" s="120">
        <v>573950</v>
      </c>
      <c r="X30" s="120">
        <v>556752</v>
      </c>
      <c r="Y30" s="120">
        <v>548477</v>
      </c>
      <c r="Z30" s="120">
        <v>558964</v>
      </c>
      <c r="AA30" s="120">
        <v>573181</v>
      </c>
      <c r="AB30" s="120">
        <v>556161</v>
      </c>
      <c r="AC30" s="120">
        <v>537446</v>
      </c>
      <c r="AD30" s="120">
        <v>494836</v>
      </c>
      <c r="AE30" s="120">
        <v>448279</v>
      </c>
      <c r="AF30" s="120">
        <v>445303</v>
      </c>
      <c r="AG30" s="120">
        <v>494836</v>
      </c>
      <c r="AH30" s="120">
        <v>388031</v>
      </c>
      <c r="AI30" s="120">
        <v>363614</v>
      </c>
      <c r="AJ30" s="120">
        <v>337557</v>
      </c>
      <c r="AK30" s="120">
        <v>327269</v>
      </c>
      <c r="AL30" s="120">
        <v>321179</v>
      </c>
      <c r="AM30" s="120">
        <v>298108</v>
      </c>
      <c r="AN30" s="120">
        <v>292947</v>
      </c>
      <c r="AO30" s="120">
        <v>271985</v>
      </c>
      <c r="AP30" s="296"/>
      <c r="AQ30" s="296"/>
    </row>
    <row r="31" spans="1:43" s="1" customFormat="1" x14ac:dyDescent="0.25">
      <c r="A31" s="248" t="s">
        <v>57</v>
      </c>
      <c r="B31" s="122">
        <v>66762</v>
      </c>
      <c r="C31" s="122">
        <f>'[1]Quadro 1'!$B$35</f>
        <v>64903</v>
      </c>
      <c r="D31" s="122">
        <v>60005</v>
      </c>
      <c r="E31" s="122">
        <v>48779</v>
      </c>
      <c r="F31" s="122">
        <v>44248</v>
      </c>
      <c r="G31" s="122">
        <v>42477</v>
      </c>
      <c r="H31" s="122">
        <v>38463</v>
      </c>
      <c r="I31" s="122">
        <v>39447</v>
      </c>
      <c r="J31" s="29">
        <v>34244</v>
      </c>
      <c r="K31" s="122">
        <v>28933</v>
      </c>
      <c r="L31" s="122">
        <v>32524</v>
      </c>
      <c r="M31" s="122">
        <v>32524</v>
      </c>
      <c r="N31" s="122">
        <v>2524</v>
      </c>
      <c r="O31" s="122">
        <v>2982</v>
      </c>
      <c r="P31" s="122">
        <v>34989</v>
      </c>
      <c r="Q31" s="122">
        <v>46963</v>
      </c>
      <c r="R31" s="122">
        <v>46811</v>
      </c>
      <c r="S31" s="122">
        <v>58996</v>
      </c>
      <c r="T31" s="122">
        <v>56072</v>
      </c>
      <c r="U31" s="122">
        <v>53407</v>
      </c>
      <c r="V31" s="122">
        <v>52483</v>
      </c>
      <c r="W31" s="122">
        <v>52455</v>
      </c>
      <c r="X31" s="122">
        <v>51689</v>
      </c>
      <c r="Y31" s="122">
        <v>49454</v>
      </c>
      <c r="Z31" s="122">
        <v>49333</v>
      </c>
      <c r="AA31" s="122">
        <v>48854</v>
      </c>
      <c r="AB31" s="122">
        <v>55576</v>
      </c>
      <c r="AC31" s="122">
        <v>46045</v>
      </c>
      <c r="AD31" s="122">
        <v>54524</v>
      </c>
      <c r="AE31" s="122">
        <v>52571</v>
      </c>
      <c r="AF31" s="122">
        <v>51226</v>
      </c>
      <c r="AG31" s="122">
        <v>54524</v>
      </c>
      <c r="AH31" s="122">
        <v>39907</v>
      </c>
      <c r="AI31" s="122">
        <v>39022</v>
      </c>
      <c r="AJ31" s="122">
        <v>38372</v>
      </c>
      <c r="AK31" s="122">
        <v>19591</v>
      </c>
      <c r="AL31" s="122">
        <v>16533</v>
      </c>
      <c r="AM31" s="122">
        <v>14969</v>
      </c>
      <c r="AN31" s="122">
        <v>15011</v>
      </c>
      <c r="AO31" s="122">
        <v>14948</v>
      </c>
      <c r="AP31" s="296"/>
      <c r="AQ31" s="296"/>
    </row>
    <row r="32" spans="1:43" s="1" customFormat="1" x14ac:dyDescent="0.25">
      <c r="A32" s="249" t="s">
        <v>420</v>
      </c>
      <c r="B32" s="120">
        <v>26188</v>
      </c>
      <c r="C32" s="120">
        <f>'[1]Quadro 1'!$B$34</f>
        <v>27029</v>
      </c>
      <c r="D32" s="120">
        <v>27018</v>
      </c>
      <c r="E32" s="120">
        <v>26967</v>
      </c>
      <c r="F32" s="120">
        <v>35594</v>
      </c>
      <c r="G32" s="120"/>
      <c r="H32" s="120"/>
      <c r="I32" s="120"/>
      <c r="J32" s="32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296"/>
      <c r="AQ32" s="296"/>
    </row>
    <row r="33" spans="1:43" s="1" customFormat="1" x14ac:dyDescent="0.25">
      <c r="A33" s="248" t="s">
        <v>64</v>
      </c>
      <c r="B33" s="380">
        <v>756545</v>
      </c>
      <c r="C33" s="380">
        <f>'[1]Quadro 1'!$B$37</f>
        <v>1232009</v>
      </c>
      <c r="D33" s="380">
        <v>1241937</v>
      </c>
      <c r="E33" s="380">
        <v>1191067</v>
      </c>
      <c r="F33" s="122">
        <v>1132922</v>
      </c>
      <c r="G33" s="122">
        <v>1293607</v>
      </c>
      <c r="H33" s="122">
        <v>1257643</v>
      </c>
      <c r="I33" s="122">
        <v>1238084</v>
      </c>
      <c r="J33" s="29">
        <v>1147522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122">
        <v>0</v>
      </c>
      <c r="AK33" s="122">
        <v>0</v>
      </c>
      <c r="AL33" s="122">
        <v>0</v>
      </c>
      <c r="AM33" s="122">
        <v>0</v>
      </c>
      <c r="AN33" s="122">
        <v>0</v>
      </c>
      <c r="AO33" s="122">
        <v>0</v>
      </c>
      <c r="AP33" s="296"/>
      <c r="AQ33" s="296"/>
    </row>
    <row r="34" spans="1:43" s="1" customFormat="1" x14ac:dyDescent="0.25">
      <c r="A34" s="249" t="s">
        <v>67</v>
      </c>
      <c r="B34" s="379">
        <v>61716</v>
      </c>
      <c r="C34" s="379">
        <f>'[1]Quadro 1'!$B$36</f>
        <v>29301</v>
      </c>
      <c r="D34" s="379">
        <v>38789</v>
      </c>
      <c r="E34" s="379">
        <v>48953</v>
      </c>
      <c r="F34" s="120">
        <v>57169</v>
      </c>
      <c r="G34" s="120">
        <v>53484</v>
      </c>
      <c r="H34" s="120">
        <v>56132</v>
      </c>
      <c r="I34" s="120">
        <v>36581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296"/>
      <c r="AQ34" s="296"/>
    </row>
    <row r="35" spans="1:43" s="1" customFormat="1" x14ac:dyDescent="0.25">
      <c r="A35" s="248"/>
      <c r="B35" s="248"/>
      <c r="C35" s="248"/>
      <c r="D35" s="248"/>
      <c r="E35" s="248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296"/>
      <c r="AQ35" s="296"/>
    </row>
    <row r="36" spans="1:43" s="1" customFormat="1" ht="15.75" x14ac:dyDescent="0.25">
      <c r="A36" s="193" t="s">
        <v>373</v>
      </c>
      <c r="B36" s="116">
        <f>SUM(B23:B35)</f>
        <v>2236206</v>
      </c>
      <c r="C36" s="116">
        <f>SUM(C23:C35)</f>
        <v>2587710</v>
      </c>
      <c r="D36" s="116">
        <f>SUM(D23:D35)</f>
        <v>2571558</v>
      </c>
      <c r="E36" s="116">
        <f t="shared" ref="E36:AO36" si="2">SUM(E23:E35)</f>
        <v>2456937</v>
      </c>
      <c r="F36" s="116">
        <f t="shared" si="2"/>
        <v>2463845</v>
      </c>
      <c r="G36" s="116">
        <f t="shared" si="2"/>
        <v>2571249</v>
      </c>
      <c r="H36" s="116">
        <f t="shared" si="2"/>
        <v>2522700</v>
      </c>
      <c r="I36" s="116">
        <f t="shared" si="2"/>
        <v>2490548</v>
      </c>
      <c r="J36" s="116">
        <f t="shared" si="2"/>
        <v>2372586</v>
      </c>
      <c r="K36" s="116">
        <f t="shared" si="2"/>
        <v>1232375</v>
      </c>
      <c r="L36" s="116">
        <f t="shared" si="2"/>
        <v>1248204</v>
      </c>
      <c r="M36" s="116">
        <f t="shared" si="2"/>
        <v>1128828</v>
      </c>
      <c r="N36" s="116">
        <f t="shared" si="2"/>
        <v>1201649</v>
      </c>
      <c r="O36" s="116">
        <f t="shared" si="2"/>
        <v>1202795</v>
      </c>
      <c r="P36" s="116">
        <f t="shared" si="2"/>
        <v>1273079</v>
      </c>
      <c r="Q36" s="116">
        <f t="shared" si="2"/>
        <v>1266489</v>
      </c>
      <c r="R36" s="116">
        <f t="shared" si="2"/>
        <v>1250833</v>
      </c>
      <c r="S36" s="116">
        <f t="shared" si="2"/>
        <v>1249967</v>
      </c>
      <c r="T36" s="116">
        <f t="shared" si="2"/>
        <v>1228658</v>
      </c>
      <c r="U36" s="116">
        <f t="shared" si="2"/>
        <v>1287763</v>
      </c>
      <c r="V36" s="116">
        <f t="shared" si="2"/>
        <v>1292176</v>
      </c>
      <c r="W36" s="116">
        <f t="shared" si="2"/>
        <v>1292452</v>
      </c>
      <c r="X36" s="116">
        <f t="shared" si="2"/>
        <v>1270181</v>
      </c>
      <c r="Y36" s="116">
        <f t="shared" si="2"/>
        <v>1261875</v>
      </c>
      <c r="Z36" s="116">
        <f t="shared" si="2"/>
        <v>1216555</v>
      </c>
      <c r="AA36" s="116">
        <f t="shared" si="2"/>
        <v>1236591</v>
      </c>
      <c r="AB36" s="116">
        <f t="shared" si="2"/>
        <v>1222744</v>
      </c>
      <c r="AC36" s="116">
        <f t="shared" si="2"/>
        <v>1303262</v>
      </c>
      <c r="AD36" s="116">
        <f t="shared" si="2"/>
        <v>1270102</v>
      </c>
      <c r="AE36" s="116">
        <f t="shared" si="2"/>
        <v>1321014</v>
      </c>
      <c r="AF36" s="116">
        <f t="shared" si="2"/>
        <v>1336813</v>
      </c>
      <c r="AG36" s="116">
        <f t="shared" si="2"/>
        <v>1270102</v>
      </c>
      <c r="AH36" s="116">
        <f t="shared" si="2"/>
        <v>1151311</v>
      </c>
      <c r="AI36" s="116">
        <f t="shared" si="2"/>
        <v>1219209</v>
      </c>
      <c r="AJ36" s="116">
        <f t="shared" si="2"/>
        <v>1252551</v>
      </c>
      <c r="AK36" s="116">
        <f t="shared" si="2"/>
        <v>1224524</v>
      </c>
      <c r="AL36" s="116">
        <f t="shared" si="2"/>
        <v>1260151</v>
      </c>
      <c r="AM36" s="116">
        <f t="shared" si="2"/>
        <v>910760</v>
      </c>
      <c r="AN36" s="116">
        <f t="shared" si="2"/>
        <v>901155</v>
      </c>
      <c r="AO36" s="116">
        <f t="shared" si="2"/>
        <v>877766</v>
      </c>
      <c r="AP36" s="296"/>
      <c r="AQ36" s="296"/>
    </row>
    <row r="37" spans="1:43" s="1" customFormat="1" x14ac:dyDescent="0.25">
      <c r="A37" s="39"/>
      <c r="B37" s="39"/>
      <c r="C37" s="39"/>
      <c r="D37" s="39"/>
      <c r="E37" s="3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296"/>
      <c r="AQ37" s="296"/>
    </row>
    <row r="38" spans="1:43" s="1" customFormat="1" x14ac:dyDescent="0.25">
      <c r="A38" s="247" t="s">
        <v>397</v>
      </c>
      <c r="B38" s="247"/>
      <c r="C38" s="247"/>
      <c r="D38" s="247"/>
      <c r="E38" s="247"/>
      <c r="F38" s="122"/>
      <c r="G38" s="122"/>
      <c r="H38" s="122"/>
      <c r="I38" s="122"/>
      <c r="J38" s="122"/>
      <c r="K38" s="122"/>
      <c r="L38" s="122"/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0</v>
      </c>
      <c r="S38" s="122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v>0</v>
      </c>
      <c r="AD38" s="122">
        <v>0</v>
      </c>
      <c r="AE38" s="122">
        <v>0</v>
      </c>
      <c r="AF38" s="122">
        <v>0</v>
      </c>
      <c r="AG38" s="122">
        <v>0</v>
      </c>
      <c r="AH38" s="122">
        <v>0</v>
      </c>
      <c r="AI38" s="122">
        <v>0</v>
      </c>
      <c r="AJ38" s="122">
        <v>0</v>
      </c>
      <c r="AK38" s="122">
        <v>0</v>
      </c>
      <c r="AL38" s="122">
        <v>0</v>
      </c>
      <c r="AM38" s="122">
        <v>0</v>
      </c>
      <c r="AN38" s="122">
        <v>0</v>
      </c>
      <c r="AO38" s="122">
        <v>0</v>
      </c>
      <c r="AP38" s="296"/>
      <c r="AQ38" s="296"/>
    </row>
    <row r="39" spans="1:43" s="1" customFormat="1" x14ac:dyDescent="0.25">
      <c r="A39" s="249" t="s">
        <v>63</v>
      </c>
      <c r="B39" s="379">
        <v>165392</v>
      </c>
      <c r="C39" s="379">
        <f>'[1]Quadro 1'!$B$40</f>
        <v>163151</v>
      </c>
      <c r="D39" s="379">
        <v>145085</v>
      </c>
      <c r="E39" s="379">
        <v>147127</v>
      </c>
      <c r="F39" s="120">
        <v>134243</v>
      </c>
      <c r="G39" s="120">
        <v>137616</v>
      </c>
      <c r="H39" s="120">
        <v>120887</v>
      </c>
      <c r="I39" s="120">
        <v>122561</v>
      </c>
      <c r="J39" s="120">
        <v>104857</v>
      </c>
      <c r="K39" s="120">
        <v>94519</v>
      </c>
      <c r="L39" s="120">
        <v>78800</v>
      </c>
      <c r="M39" s="120">
        <v>154438</v>
      </c>
      <c r="N39" s="120">
        <v>62287</v>
      </c>
      <c r="O39" s="120">
        <v>44034</v>
      </c>
      <c r="P39" s="120">
        <v>46238</v>
      </c>
      <c r="Q39" s="120">
        <v>48362</v>
      </c>
      <c r="R39" s="120">
        <v>34290</v>
      </c>
      <c r="S39" s="120">
        <v>26077</v>
      </c>
      <c r="T39" s="120">
        <v>26594</v>
      </c>
      <c r="U39" s="120">
        <v>18780</v>
      </c>
      <c r="V39" s="120">
        <v>18068</v>
      </c>
      <c r="W39" s="120">
        <v>18120</v>
      </c>
      <c r="X39" s="120">
        <v>17161</v>
      </c>
      <c r="Y39" s="120">
        <v>12310</v>
      </c>
      <c r="Z39" s="120">
        <v>13838</v>
      </c>
      <c r="AA39" s="120">
        <v>15506</v>
      </c>
      <c r="AB39" s="120">
        <v>18621</v>
      </c>
      <c r="AC39" s="120">
        <v>260</v>
      </c>
      <c r="AD39" s="120">
        <v>260</v>
      </c>
      <c r="AE39" s="120">
        <v>260</v>
      </c>
      <c r="AF39" s="120">
        <v>260</v>
      </c>
      <c r="AG39" s="120">
        <v>260</v>
      </c>
      <c r="AH39" s="120">
        <v>45643</v>
      </c>
      <c r="AI39" s="120">
        <v>260</v>
      </c>
      <c r="AJ39" s="120">
        <v>260</v>
      </c>
      <c r="AK39" s="120">
        <v>22063</v>
      </c>
      <c r="AL39" s="120">
        <v>22063</v>
      </c>
      <c r="AM39" s="120">
        <v>22063</v>
      </c>
      <c r="AN39" s="120">
        <v>22063</v>
      </c>
      <c r="AO39" s="120">
        <v>22063</v>
      </c>
      <c r="AP39" s="296"/>
      <c r="AQ39" s="296"/>
    </row>
    <row r="40" spans="1:43" s="1" customFormat="1" x14ac:dyDescent="0.25">
      <c r="A40" s="248" t="s">
        <v>65</v>
      </c>
      <c r="B40" s="122">
        <v>5867484</v>
      </c>
      <c r="C40" s="122">
        <f>'[1]Quadro 1'!$B$42</f>
        <v>5486899</v>
      </c>
      <c r="D40" s="122">
        <v>5454095</v>
      </c>
      <c r="E40" s="122">
        <v>5523570</v>
      </c>
      <c r="F40" s="122">
        <v>5504374</v>
      </c>
      <c r="G40" s="122">
        <v>5249604</v>
      </c>
      <c r="H40" s="122">
        <v>5218649</v>
      </c>
      <c r="I40" s="122">
        <v>5140152</v>
      </c>
      <c r="J40" s="122">
        <v>5188492</v>
      </c>
      <c r="K40" s="122">
        <v>6256853</v>
      </c>
      <c r="L40" s="122">
        <v>6172905</v>
      </c>
      <c r="M40" s="122">
        <v>6136501</v>
      </c>
      <c r="N40" s="122">
        <v>6097405</v>
      </c>
      <c r="O40" s="122">
        <v>6072097</v>
      </c>
      <c r="P40" s="122">
        <v>6098949</v>
      </c>
      <c r="Q40" s="122">
        <v>7752906</v>
      </c>
      <c r="R40" s="122">
        <v>7820570</v>
      </c>
      <c r="S40" s="122">
        <v>7891001</v>
      </c>
      <c r="T40" s="122">
        <v>7910374</v>
      </c>
      <c r="U40" s="122">
        <v>7943232</v>
      </c>
      <c r="V40" s="122">
        <v>7982931</v>
      </c>
      <c r="W40" s="122">
        <v>7854782</v>
      </c>
      <c r="X40" s="122">
        <v>7745496</v>
      </c>
      <c r="Y40" s="122">
        <v>7679169</v>
      </c>
      <c r="Z40" s="122">
        <v>7558877</v>
      </c>
      <c r="AA40" s="122">
        <v>7366607</v>
      </c>
      <c r="AB40" s="122">
        <v>7115625</v>
      </c>
      <c r="AC40" s="122">
        <v>6979684</v>
      </c>
      <c r="AD40" s="122">
        <v>6900753</v>
      </c>
      <c r="AE40" s="122">
        <v>6776619</v>
      </c>
      <c r="AF40" s="122">
        <v>6615899</v>
      </c>
      <c r="AG40" s="122">
        <v>6900753</v>
      </c>
      <c r="AH40" s="122">
        <v>6400225</v>
      </c>
      <c r="AI40" s="122">
        <v>6294319</v>
      </c>
      <c r="AJ40" s="122">
        <v>6222048</v>
      </c>
      <c r="AK40" s="122">
        <v>6098131</v>
      </c>
      <c r="AL40" s="122">
        <v>6015805</v>
      </c>
      <c r="AM40" s="122">
        <v>5922897</v>
      </c>
      <c r="AN40" s="122">
        <v>5822151</v>
      </c>
      <c r="AO40" s="122">
        <v>5736767</v>
      </c>
      <c r="AP40" s="296"/>
      <c r="AQ40" s="296"/>
    </row>
    <row r="41" spans="1:43" s="1" customFormat="1" x14ac:dyDescent="0.25">
      <c r="A41" s="249" t="s">
        <v>66</v>
      </c>
      <c r="B41" s="120">
        <v>1518979</v>
      </c>
      <c r="C41" s="120">
        <f>'[1]Quadro 1'!$B$43</f>
        <v>1514377</v>
      </c>
      <c r="D41" s="120">
        <v>1538240</v>
      </c>
      <c r="E41" s="120">
        <v>1564004</v>
      </c>
      <c r="F41" s="120">
        <v>1590303</v>
      </c>
      <c r="G41" s="120">
        <v>1610588</v>
      </c>
      <c r="H41" s="120">
        <v>1629390</v>
      </c>
      <c r="I41" s="120">
        <v>1649997</v>
      </c>
      <c r="J41" s="120">
        <v>1675029</v>
      </c>
      <c r="K41" s="120">
        <v>1689237</v>
      </c>
      <c r="L41" s="120">
        <v>1707719</v>
      </c>
      <c r="M41" s="120">
        <v>1738707</v>
      </c>
      <c r="N41" s="120">
        <v>1769541</v>
      </c>
      <c r="O41" s="120">
        <v>1786445</v>
      </c>
      <c r="P41" s="120">
        <v>1749214</v>
      </c>
      <c r="Q41" s="120">
        <v>133737</v>
      </c>
      <c r="R41" s="120">
        <v>137922</v>
      </c>
      <c r="S41" s="120">
        <v>140132</v>
      </c>
      <c r="T41" s="120">
        <v>148098</v>
      </c>
      <c r="U41" s="120">
        <v>157050</v>
      </c>
      <c r="V41" s="120">
        <v>165019</v>
      </c>
      <c r="W41" s="120">
        <v>173787</v>
      </c>
      <c r="X41" s="120">
        <v>181686</v>
      </c>
      <c r="Y41" s="120">
        <v>190570</v>
      </c>
      <c r="Z41" s="120">
        <v>195462</v>
      </c>
      <c r="AA41" s="120">
        <v>199014</v>
      </c>
      <c r="AB41" s="120">
        <v>202011</v>
      </c>
      <c r="AC41" s="120">
        <v>207242</v>
      </c>
      <c r="AD41" s="120">
        <v>205478</v>
      </c>
      <c r="AE41" s="120">
        <v>204623</v>
      </c>
      <c r="AF41" s="120">
        <v>188129</v>
      </c>
      <c r="AG41" s="120">
        <v>205478</v>
      </c>
      <c r="AH41" s="120">
        <v>175333</v>
      </c>
      <c r="AI41" s="120">
        <v>180785</v>
      </c>
      <c r="AJ41" s="120">
        <v>175608</v>
      </c>
      <c r="AK41" s="120">
        <v>161021</v>
      </c>
      <c r="AL41" s="120">
        <v>161552</v>
      </c>
      <c r="AM41" s="120">
        <v>107513</v>
      </c>
      <c r="AN41" s="120">
        <v>103951</v>
      </c>
      <c r="AO41" s="120">
        <v>108368</v>
      </c>
      <c r="AP41" s="296"/>
      <c r="AQ41" s="296"/>
    </row>
    <row r="42" spans="1:43" s="1" customFormat="1" x14ac:dyDescent="0.25">
      <c r="A42" s="248"/>
      <c r="B42" s="248"/>
      <c r="C42" s="248"/>
      <c r="D42" s="248"/>
      <c r="E42" s="248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296"/>
      <c r="AQ42" s="296"/>
    </row>
    <row r="43" spans="1:43" s="1" customFormat="1" ht="15.75" x14ac:dyDescent="0.25">
      <c r="A43" s="209" t="s">
        <v>374</v>
      </c>
      <c r="B43" s="116">
        <f>SUM(B39:B42)</f>
        <v>7551855</v>
      </c>
      <c r="C43" s="116">
        <f>SUM(C39:C42)</f>
        <v>7164427</v>
      </c>
      <c r="D43" s="116">
        <f>SUM(D39:D42)</f>
        <v>7137420</v>
      </c>
      <c r="E43" s="116">
        <f t="shared" ref="E43:AO43" si="3">SUM(E39:E42)</f>
        <v>7234701</v>
      </c>
      <c r="F43" s="116">
        <f t="shared" si="3"/>
        <v>7228920</v>
      </c>
      <c r="G43" s="116">
        <f t="shared" si="3"/>
        <v>6997808</v>
      </c>
      <c r="H43" s="116">
        <f t="shared" si="3"/>
        <v>6968926</v>
      </c>
      <c r="I43" s="116">
        <f t="shared" si="3"/>
        <v>6912710</v>
      </c>
      <c r="J43" s="116">
        <f t="shared" si="3"/>
        <v>6968378</v>
      </c>
      <c r="K43" s="116">
        <f t="shared" si="3"/>
        <v>8040609</v>
      </c>
      <c r="L43" s="116">
        <f t="shared" si="3"/>
        <v>7959424</v>
      </c>
      <c r="M43" s="116">
        <f t="shared" si="3"/>
        <v>8029646</v>
      </c>
      <c r="N43" s="116">
        <f t="shared" si="3"/>
        <v>7929233</v>
      </c>
      <c r="O43" s="116">
        <f t="shared" si="3"/>
        <v>7902576</v>
      </c>
      <c r="P43" s="116">
        <f t="shared" si="3"/>
        <v>7894401</v>
      </c>
      <c r="Q43" s="116">
        <f t="shared" si="3"/>
        <v>7935005</v>
      </c>
      <c r="R43" s="116">
        <f t="shared" si="3"/>
        <v>7992782</v>
      </c>
      <c r="S43" s="116">
        <f t="shared" si="3"/>
        <v>8057210</v>
      </c>
      <c r="T43" s="116">
        <f t="shared" si="3"/>
        <v>8085066</v>
      </c>
      <c r="U43" s="116">
        <f t="shared" si="3"/>
        <v>8119062</v>
      </c>
      <c r="V43" s="116">
        <f t="shared" si="3"/>
        <v>8166018</v>
      </c>
      <c r="W43" s="116">
        <f t="shared" si="3"/>
        <v>8046689</v>
      </c>
      <c r="X43" s="116">
        <f t="shared" si="3"/>
        <v>7944343</v>
      </c>
      <c r="Y43" s="116">
        <f t="shared" si="3"/>
        <v>7882049</v>
      </c>
      <c r="Z43" s="116">
        <f t="shared" si="3"/>
        <v>7768177</v>
      </c>
      <c r="AA43" s="116">
        <f t="shared" si="3"/>
        <v>7581127</v>
      </c>
      <c r="AB43" s="116">
        <f t="shared" si="3"/>
        <v>7336257</v>
      </c>
      <c r="AC43" s="116">
        <f t="shared" si="3"/>
        <v>7187186</v>
      </c>
      <c r="AD43" s="116">
        <f t="shared" si="3"/>
        <v>7106491</v>
      </c>
      <c r="AE43" s="116">
        <f t="shared" si="3"/>
        <v>6981502</v>
      </c>
      <c r="AF43" s="116">
        <f t="shared" si="3"/>
        <v>6804288</v>
      </c>
      <c r="AG43" s="116">
        <f t="shared" si="3"/>
        <v>7106491</v>
      </c>
      <c r="AH43" s="116">
        <f t="shared" si="3"/>
        <v>6621201</v>
      </c>
      <c r="AI43" s="116">
        <f t="shared" si="3"/>
        <v>6475364</v>
      </c>
      <c r="AJ43" s="116">
        <f t="shared" si="3"/>
        <v>6397916</v>
      </c>
      <c r="AK43" s="116">
        <f t="shared" si="3"/>
        <v>6281215</v>
      </c>
      <c r="AL43" s="116">
        <f t="shared" si="3"/>
        <v>6199420</v>
      </c>
      <c r="AM43" s="116">
        <f t="shared" si="3"/>
        <v>6052473</v>
      </c>
      <c r="AN43" s="116">
        <f t="shared" si="3"/>
        <v>5948165</v>
      </c>
      <c r="AO43" s="116">
        <f t="shared" si="3"/>
        <v>5867198</v>
      </c>
      <c r="AP43" s="296"/>
      <c r="AQ43" s="296"/>
    </row>
    <row r="44" spans="1:43" s="1" customFormat="1" x14ac:dyDescent="0.25">
      <c r="A44" s="147"/>
      <c r="B44" s="147"/>
      <c r="C44" s="147"/>
      <c r="D44" s="147"/>
      <c r="E44" s="147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296"/>
      <c r="AQ44" s="296"/>
    </row>
    <row r="45" spans="1:43" s="1" customFormat="1" ht="15.75" x14ac:dyDescent="0.25">
      <c r="A45" s="209" t="s">
        <v>398</v>
      </c>
      <c r="B45" s="116">
        <f>B36+B43</f>
        <v>9788061</v>
      </c>
      <c r="C45" s="116">
        <f>C36+C43</f>
        <v>9752137</v>
      </c>
      <c r="D45" s="116">
        <f>D36+D43</f>
        <v>9708978</v>
      </c>
      <c r="E45" s="116">
        <f t="shared" ref="E45:AO45" si="4">E43+E36</f>
        <v>9691638</v>
      </c>
      <c r="F45" s="116">
        <f t="shared" si="4"/>
        <v>9692765</v>
      </c>
      <c r="G45" s="116">
        <f t="shared" si="4"/>
        <v>9569057</v>
      </c>
      <c r="H45" s="116">
        <f t="shared" si="4"/>
        <v>9491626</v>
      </c>
      <c r="I45" s="116">
        <f t="shared" si="4"/>
        <v>9403258</v>
      </c>
      <c r="J45" s="116">
        <f t="shared" si="4"/>
        <v>9340964</v>
      </c>
      <c r="K45" s="116">
        <f t="shared" si="4"/>
        <v>9272984</v>
      </c>
      <c r="L45" s="116">
        <f t="shared" si="4"/>
        <v>9207628</v>
      </c>
      <c r="M45" s="116">
        <f t="shared" si="4"/>
        <v>9158474</v>
      </c>
      <c r="N45" s="116">
        <f t="shared" si="4"/>
        <v>9130882</v>
      </c>
      <c r="O45" s="116">
        <f t="shared" si="4"/>
        <v>9105371</v>
      </c>
      <c r="P45" s="116">
        <f t="shared" si="4"/>
        <v>9167480</v>
      </c>
      <c r="Q45" s="116">
        <f t="shared" si="4"/>
        <v>9201494</v>
      </c>
      <c r="R45" s="116">
        <f t="shared" si="4"/>
        <v>9243615</v>
      </c>
      <c r="S45" s="116">
        <f t="shared" si="4"/>
        <v>9307177</v>
      </c>
      <c r="T45" s="116">
        <f t="shared" si="4"/>
        <v>9313724</v>
      </c>
      <c r="U45" s="116">
        <f t="shared" si="4"/>
        <v>9406825</v>
      </c>
      <c r="V45" s="116">
        <f t="shared" si="4"/>
        <v>9458194</v>
      </c>
      <c r="W45" s="116">
        <f t="shared" si="4"/>
        <v>9339141</v>
      </c>
      <c r="X45" s="116">
        <f t="shared" si="4"/>
        <v>9214524</v>
      </c>
      <c r="Y45" s="116">
        <f t="shared" si="4"/>
        <v>9143924</v>
      </c>
      <c r="Z45" s="116">
        <f t="shared" si="4"/>
        <v>8984732</v>
      </c>
      <c r="AA45" s="116">
        <f t="shared" si="4"/>
        <v>8817718</v>
      </c>
      <c r="AB45" s="116">
        <f t="shared" si="4"/>
        <v>8559001</v>
      </c>
      <c r="AC45" s="116">
        <f t="shared" si="4"/>
        <v>8490448</v>
      </c>
      <c r="AD45" s="116">
        <f t="shared" si="4"/>
        <v>8376593</v>
      </c>
      <c r="AE45" s="116">
        <f t="shared" si="4"/>
        <v>8302516</v>
      </c>
      <c r="AF45" s="116">
        <f t="shared" si="4"/>
        <v>8141101</v>
      </c>
      <c r="AG45" s="116">
        <f t="shared" si="4"/>
        <v>8376593</v>
      </c>
      <c r="AH45" s="116">
        <f t="shared" si="4"/>
        <v>7772512</v>
      </c>
      <c r="AI45" s="116">
        <f t="shared" si="4"/>
        <v>7694573</v>
      </c>
      <c r="AJ45" s="116">
        <f t="shared" si="4"/>
        <v>7650467</v>
      </c>
      <c r="AK45" s="116">
        <f t="shared" si="4"/>
        <v>7505739</v>
      </c>
      <c r="AL45" s="116">
        <f t="shared" si="4"/>
        <v>7459571</v>
      </c>
      <c r="AM45" s="116">
        <f t="shared" si="4"/>
        <v>6963233</v>
      </c>
      <c r="AN45" s="116">
        <f t="shared" si="4"/>
        <v>6849320</v>
      </c>
      <c r="AO45" s="116">
        <f t="shared" si="4"/>
        <v>6744964</v>
      </c>
      <c r="AP45" s="296"/>
      <c r="AQ45" s="296"/>
    </row>
    <row r="46" spans="1:43" s="1" customFormat="1" x14ac:dyDescent="0.25">
      <c r="A46" s="250"/>
      <c r="B46" s="250"/>
      <c r="C46" s="250"/>
      <c r="D46" s="250"/>
      <c r="E46" s="250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296"/>
      <c r="AQ46" s="296"/>
    </row>
    <row r="47" spans="1:43" s="1" customFormat="1" ht="15.75" x14ac:dyDescent="0.25">
      <c r="A47" s="209" t="s">
        <v>375</v>
      </c>
      <c r="B47" s="116">
        <f>B45+B18</f>
        <v>11762554</v>
      </c>
      <c r="C47" s="116">
        <f>C45+C18</f>
        <v>12028634</v>
      </c>
      <c r="D47" s="116">
        <f>D45+D18</f>
        <v>11854115</v>
      </c>
      <c r="E47" s="116">
        <f t="shared" ref="E47:AO47" si="5">E45+E18</f>
        <v>11694504</v>
      </c>
      <c r="F47" s="116">
        <f t="shared" si="5"/>
        <v>11520769</v>
      </c>
      <c r="G47" s="116">
        <f t="shared" si="5"/>
        <v>11448844</v>
      </c>
      <c r="H47" s="116">
        <f t="shared" si="5"/>
        <v>11382091</v>
      </c>
      <c r="I47" s="116">
        <f t="shared" si="5"/>
        <v>11230763</v>
      </c>
      <c r="J47" s="116">
        <f t="shared" si="5"/>
        <v>11165962</v>
      </c>
      <c r="K47" s="116">
        <f t="shared" si="5"/>
        <v>11084638</v>
      </c>
      <c r="L47" s="116">
        <f t="shared" si="5"/>
        <v>10701499</v>
      </c>
      <c r="M47" s="116">
        <f t="shared" si="5"/>
        <v>11015389</v>
      </c>
      <c r="N47" s="116">
        <f t="shared" si="5"/>
        <v>10801093</v>
      </c>
      <c r="O47" s="116">
        <f t="shared" si="5"/>
        <v>10969232</v>
      </c>
      <c r="P47" s="116">
        <f t="shared" si="5"/>
        <v>10916918</v>
      </c>
      <c r="Q47" s="116">
        <f t="shared" si="5"/>
        <v>10933028</v>
      </c>
      <c r="R47" s="116">
        <f t="shared" si="5"/>
        <v>10940114</v>
      </c>
      <c r="S47" s="116">
        <f t="shared" si="5"/>
        <v>10957142</v>
      </c>
      <c r="T47" s="116">
        <f t="shared" si="5"/>
        <v>10734067</v>
      </c>
      <c r="U47" s="116">
        <f t="shared" si="5"/>
        <v>10748700</v>
      </c>
      <c r="V47" s="116">
        <f t="shared" si="5"/>
        <v>10938168</v>
      </c>
      <c r="W47" s="116">
        <f t="shared" si="5"/>
        <v>10881371</v>
      </c>
      <c r="X47" s="116">
        <f t="shared" si="5"/>
        <v>10419795</v>
      </c>
      <c r="Y47" s="116">
        <f t="shared" si="5"/>
        <v>10243432</v>
      </c>
      <c r="Z47" s="116">
        <f t="shared" si="5"/>
        <v>10154641</v>
      </c>
      <c r="AA47" s="116">
        <f t="shared" si="5"/>
        <v>9800876</v>
      </c>
      <c r="AB47" s="116">
        <f t="shared" si="5"/>
        <v>9634103</v>
      </c>
      <c r="AC47" s="116">
        <f t="shared" si="5"/>
        <v>9514970</v>
      </c>
      <c r="AD47" s="116">
        <f t="shared" si="5"/>
        <v>9456301</v>
      </c>
      <c r="AE47" s="116">
        <f t="shared" si="5"/>
        <v>9370249</v>
      </c>
      <c r="AF47" s="116">
        <f t="shared" si="5"/>
        <v>9324778</v>
      </c>
      <c r="AG47" s="116">
        <f t="shared" si="5"/>
        <v>9456301</v>
      </c>
      <c r="AH47" s="116">
        <f t="shared" si="5"/>
        <v>8992688</v>
      </c>
      <c r="AI47" s="116">
        <f t="shared" si="5"/>
        <v>8976363</v>
      </c>
      <c r="AJ47" s="116">
        <f t="shared" si="5"/>
        <v>8897097</v>
      </c>
      <c r="AK47" s="116">
        <f t="shared" si="5"/>
        <v>8822192</v>
      </c>
      <c r="AL47" s="116">
        <f t="shared" si="5"/>
        <v>8274201</v>
      </c>
      <c r="AM47" s="116">
        <f t="shared" si="5"/>
        <v>7851346</v>
      </c>
      <c r="AN47" s="116">
        <f t="shared" si="5"/>
        <v>7564580</v>
      </c>
      <c r="AO47" s="116">
        <f t="shared" si="5"/>
        <v>7436846</v>
      </c>
      <c r="AP47" s="309"/>
      <c r="AQ47" s="296"/>
    </row>
    <row r="48" spans="1:43" s="1" customFormat="1" x14ac:dyDescent="0.25">
      <c r="A48" s="147"/>
      <c r="B48" s="147"/>
      <c r="C48" s="147"/>
      <c r="D48" s="147"/>
      <c r="E48" s="147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296"/>
      <c r="AQ48" s="296"/>
    </row>
    <row r="49" spans="1:43" s="1" customFormat="1" ht="15.75" x14ac:dyDescent="0.25">
      <c r="A49" s="193" t="s">
        <v>425</v>
      </c>
      <c r="B49" s="193"/>
      <c r="C49" s="193"/>
      <c r="D49" s="193"/>
      <c r="E49" s="193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296"/>
      <c r="AQ49" s="296"/>
    </row>
    <row r="50" spans="1:43" s="1" customFormat="1" ht="15.75" x14ac:dyDescent="0.25">
      <c r="A50" s="193" t="s">
        <v>426</v>
      </c>
      <c r="B50" s="193"/>
      <c r="C50" s="193"/>
      <c r="D50" s="193"/>
      <c r="E50" s="193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296"/>
      <c r="AQ50" s="296"/>
    </row>
    <row r="51" spans="1:43" s="1" customFormat="1" x14ac:dyDescent="0.25">
      <c r="A51" s="4"/>
      <c r="B51" s="4"/>
      <c r="C51" s="4"/>
      <c r="D51" s="4"/>
      <c r="E51" s="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296"/>
      <c r="AQ51" s="296"/>
    </row>
    <row r="52" spans="1:43" s="1" customFormat="1" x14ac:dyDescent="0.25">
      <c r="A52" s="246" t="s">
        <v>68</v>
      </c>
      <c r="B52" s="377">
        <v>206177</v>
      </c>
      <c r="C52" s="377">
        <f>'[1]Quadro 1'!$B$75</f>
        <v>203751</v>
      </c>
      <c r="D52" s="377">
        <v>183551</v>
      </c>
      <c r="E52" s="377">
        <v>155152</v>
      </c>
      <c r="F52" s="120">
        <v>176302</v>
      </c>
      <c r="G52" s="120">
        <v>176719</v>
      </c>
      <c r="H52" s="120">
        <v>176493</v>
      </c>
      <c r="I52" s="120">
        <v>182999</v>
      </c>
      <c r="J52" s="120">
        <v>206999</v>
      </c>
      <c r="K52" s="120">
        <v>214263</v>
      </c>
      <c r="L52" s="120">
        <v>191417</v>
      </c>
      <c r="M52" s="120">
        <v>171440</v>
      </c>
      <c r="N52" s="120">
        <v>191866</v>
      </c>
      <c r="O52" s="120">
        <v>171837</v>
      </c>
      <c r="P52" s="120">
        <v>138927</v>
      </c>
      <c r="Q52" s="120">
        <v>144783</v>
      </c>
      <c r="R52" s="120">
        <v>149394</v>
      </c>
      <c r="S52" s="120">
        <v>124751</v>
      </c>
      <c r="T52" s="120">
        <v>108590</v>
      </c>
      <c r="U52" s="120">
        <v>125867</v>
      </c>
      <c r="V52" s="120">
        <v>159152</v>
      </c>
      <c r="W52" s="120">
        <v>135412</v>
      </c>
      <c r="X52" s="120">
        <v>117150</v>
      </c>
      <c r="Y52" s="120">
        <v>95761</v>
      </c>
      <c r="Z52" s="120">
        <v>114433</v>
      </c>
      <c r="AA52" s="120">
        <v>144673</v>
      </c>
      <c r="AB52" s="120">
        <v>148980</v>
      </c>
      <c r="AC52" s="120">
        <v>130189</v>
      </c>
      <c r="AD52" s="120">
        <v>135338</v>
      </c>
      <c r="AE52" s="120">
        <v>158841</v>
      </c>
      <c r="AF52" s="120">
        <v>172875</v>
      </c>
      <c r="AG52" s="120">
        <v>135338</v>
      </c>
      <c r="AH52" s="120">
        <v>157397</v>
      </c>
      <c r="AI52" s="120">
        <v>145987</v>
      </c>
      <c r="AJ52" s="120">
        <v>133231</v>
      </c>
      <c r="AK52" s="120">
        <v>123047</v>
      </c>
      <c r="AL52" s="120">
        <v>108068</v>
      </c>
      <c r="AM52" s="120">
        <v>117688</v>
      </c>
      <c r="AN52" s="120">
        <v>113592</v>
      </c>
      <c r="AO52" s="120">
        <v>123891</v>
      </c>
      <c r="AP52" s="296"/>
      <c r="AQ52" s="296"/>
    </row>
    <row r="53" spans="1:43" s="1" customFormat="1" x14ac:dyDescent="0.25">
      <c r="A53" s="247" t="s">
        <v>69</v>
      </c>
      <c r="B53" s="378">
        <v>79680</v>
      </c>
      <c r="C53" s="378">
        <f>'[1]Quadro 1'!$B$77</f>
        <v>166628</v>
      </c>
      <c r="D53" s="378">
        <v>222652</v>
      </c>
      <c r="E53" s="378">
        <v>88196</v>
      </c>
      <c r="F53" s="122">
        <v>76719</v>
      </c>
      <c r="G53" s="122">
        <v>103912</v>
      </c>
      <c r="H53" s="122">
        <v>80499</v>
      </c>
      <c r="I53" s="122">
        <v>74649</v>
      </c>
      <c r="J53" s="122">
        <v>71699</v>
      </c>
      <c r="K53" s="122">
        <v>71802</v>
      </c>
      <c r="L53" s="122">
        <v>59076</v>
      </c>
      <c r="M53" s="122">
        <v>62642</v>
      </c>
      <c r="N53" s="122">
        <v>67632</v>
      </c>
      <c r="O53" s="122">
        <v>86646</v>
      </c>
      <c r="P53" s="122">
        <v>52579</v>
      </c>
      <c r="Q53" s="122">
        <v>61732</v>
      </c>
      <c r="R53" s="122">
        <v>57771</v>
      </c>
      <c r="S53" s="122">
        <v>72846</v>
      </c>
      <c r="T53" s="122">
        <v>57616</v>
      </c>
      <c r="U53" s="122">
        <v>47868</v>
      </c>
      <c r="V53" s="122">
        <v>56220</v>
      </c>
      <c r="W53" s="122">
        <v>52107</v>
      </c>
      <c r="X53" s="122">
        <v>52817</v>
      </c>
      <c r="Y53" s="122">
        <v>41243</v>
      </c>
      <c r="Z53" s="122">
        <v>50289</v>
      </c>
      <c r="AA53" s="122">
        <v>54902</v>
      </c>
      <c r="AB53" s="122">
        <v>55065</v>
      </c>
      <c r="AC53" s="122">
        <v>58637</v>
      </c>
      <c r="AD53" s="122">
        <v>53385</v>
      </c>
      <c r="AE53" s="122">
        <v>63502</v>
      </c>
      <c r="AF53" s="122">
        <v>56311</v>
      </c>
      <c r="AG53" s="122">
        <v>53764</v>
      </c>
      <c r="AH53" s="122">
        <v>47293</v>
      </c>
      <c r="AI53" s="122">
        <v>52186</v>
      </c>
      <c r="AJ53" s="122">
        <v>55035</v>
      </c>
      <c r="AK53" s="122">
        <v>59942</v>
      </c>
      <c r="AL53" s="122">
        <v>49801</v>
      </c>
      <c r="AM53" s="122">
        <v>66010</v>
      </c>
      <c r="AN53" s="122">
        <v>48287</v>
      </c>
      <c r="AO53" s="122">
        <v>39516</v>
      </c>
      <c r="AP53" s="296"/>
      <c r="AQ53" s="296"/>
    </row>
    <row r="54" spans="1:43" s="1" customFormat="1" x14ac:dyDescent="0.25">
      <c r="A54" s="246" t="s">
        <v>70</v>
      </c>
      <c r="B54" s="377">
        <v>201851</v>
      </c>
      <c r="C54" s="377">
        <f>'[1]Quadro 1'!$B$78</f>
        <v>207961</v>
      </c>
      <c r="D54" s="377">
        <v>178540</v>
      </c>
      <c r="E54" s="377">
        <v>184724</v>
      </c>
      <c r="F54" s="120">
        <v>170450</v>
      </c>
      <c r="G54" s="120">
        <v>175023</v>
      </c>
      <c r="H54" s="120">
        <v>172227</v>
      </c>
      <c r="I54" s="120">
        <v>176113</v>
      </c>
      <c r="J54" s="120">
        <v>173736</v>
      </c>
      <c r="K54" s="120">
        <v>180427</v>
      </c>
      <c r="L54" s="120">
        <v>172812</v>
      </c>
      <c r="M54" s="120">
        <v>169788</v>
      </c>
      <c r="N54" s="120">
        <v>165756</v>
      </c>
      <c r="O54" s="120">
        <v>163507</v>
      </c>
      <c r="P54" s="120">
        <v>159784</v>
      </c>
      <c r="Q54" s="120">
        <v>155008</v>
      </c>
      <c r="R54" s="120">
        <v>146441</v>
      </c>
      <c r="S54" s="120">
        <v>149672</v>
      </c>
      <c r="T54" s="120">
        <v>146866</v>
      </c>
      <c r="U54" s="120">
        <v>174841</v>
      </c>
      <c r="V54" s="120">
        <v>188634</v>
      </c>
      <c r="W54" s="120">
        <v>355484</v>
      </c>
      <c r="X54" s="120">
        <v>347859</v>
      </c>
      <c r="Y54" s="120">
        <v>339146</v>
      </c>
      <c r="Z54" s="120">
        <v>326153</v>
      </c>
      <c r="AA54" s="120">
        <v>167790</v>
      </c>
      <c r="AB54" s="120">
        <v>166181</v>
      </c>
      <c r="AC54" s="120">
        <v>195804</v>
      </c>
      <c r="AD54" s="120">
        <v>196259</v>
      </c>
      <c r="AE54" s="120">
        <v>213823</v>
      </c>
      <c r="AF54" s="120">
        <v>221389</v>
      </c>
      <c r="AG54" s="120">
        <v>196259</v>
      </c>
      <c r="AH54" s="120">
        <v>228981</v>
      </c>
      <c r="AI54" s="120">
        <v>225642</v>
      </c>
      <c r="AJ54" s="120">
        <v>385186</v>
      </c>
      <c r="AK54" s="120">
        <v>379174</v>
      </c>
      <c r="AL54" s="120">
        <v>371225</v>
      </c>
      <c r="AM54" s="120">
        <v>349835</v>
      </c>
      <c r="AN54" s="120">
        <v>180991</v>
      </c>
      <c r="AO54" s="120">
        <v>164629</v>
      </c>
      <c r="AP54" s="296"/>
      <c r="AQ54" s="296"/>
    </row>
    <row r="55" spans="1:43" s="1" customFormat="1" x14ac:dyDescent="0.25">
      <c r="A55" s="247" t="s">
        <v>71</v>
      </c>
      <c r="B55" s="378">
        <v>393905</v>
      </c>
      <c r="C55" s="378">
        <f>'[1]Quadro 1'!$B$79</f>
        <v>362218</v>
      </c>
      <c r="D55" s="378">
        <v>151171</v>
      </c>
      <c r="E55" s="378">
        <v>205343</v>
      </c>
      <c r="F55" s="122">
        <v>214489</v>
      </c>
      <c r="G55" s="122">
        <v>208316</v>
      </c>
      <c r="H55" s="122">
        <v>244911</v>
      </c>
      <c r="I55" s="122">
        <v>368910</v>
      </c>
      <c r="J55" s="122">
        <v>441996</v>
      </c>
      <c r="K55" s="122">
        <v>408974</v>
      </c>
      <c r="L55" s="122">
        <v>568199</v>
      </c>
      <c r="M55" s="122">
        <v>433693</v>
      </c>
      <c r="N55" s="122">
        <v>432536</v>
      </c>
      <c r="O55" s="122">
        <v>422198</v>
      </c>
      <c r="P55" s="122">
        <v>422561</v>
      </c>
      <c r="Q55" s="122">
        <v>393054</v>
      </c>
      <c r="R55" s="122">
        <v>365469</v>
      </c>
      <c r="S55" s="122">
        <v>321347</v>
      </c>
      <c r="T55" s="122">
        <v>338218</v>
      </c>
      <c r="U55" s="122">
        <v>304417</v>
      </c>
      <c r="V55" s="122">
        <v>300777</v>
      </c>
      <c r="W55" s="122">
        <v>284923</v>
      </c>
      <c r="X55" s="122">
        <v>292948</v>
      </c>
      <c r="Y55" s="122">
        <v>287605</v>
      </c>
      <c r="Z55" s="122">
        <v>281779</v>
      </c>
      <c r="AA55" s="122">
        <v>261300</v>
      </c>
      <c r="AB55" s="122">
        <v>272212</v>
      </c>
      <c r="AC55" s="122">
        <v>263644</v>
      </c>
      <c r="AD55" s="122">
        <v>275267</v>
      </c>
      <c r="AE55" s="122">
        <v>260515</v>
      </c>
      <c r="AF55" s="122">
        <v>224082</v>
      </c>
      <c r="AG55" s="122">
        <v>275267</v>
      </c>
      <c r="AH55" s="122">
        <v>134024</v>
      </c>
      <c r="AI55" s="122">
        <v>114825</v>
      </c>
      <c r="AJ55" s="122">
        <v>113377</v>
      </c>
      <c r="AK55" s="122">
        <v>181419</v>
      </c>
      <c r="AL55" s="122">
        <v>172457</v>
      </c>
      <c r="AM55" s="122">
        <v>170959</v>
      </c>
      <c r="AN55" s="122">
        <v>166985</v>
      </c>
      <c r="AO55" s="122">
        <v>100875</v>
      </c>
      <c r="AP55" s="296"/>
      <c r="AQ55" s="296"/>
    </row>
    <row r="56" spans="1:43" s="1" customFormat="1" x14ac:dyDescent="0.25">
      <c r="A56" s="246" t="s">
        <v>72</v>
      </c>
      <c r="B56" s="377">
        <v>32623</v>
      </c>
      <c r="C56" s="377">
        <f>'[1]Quadro 1'!$B$80</f>
        <v>17959</v>
      </c>
      <c r="D56" s="377">
        <v>23844</v>
      </c>
      <c r="E56" s="377">
        <v>31312</v>
      </c>
      <c r="F56" s="120">
        <v>37166</v>
      </c>
      <c r="G56" s="120">
        <v>30119</v>
      </c>
      <c r="H56" s="120">
        <v>29549</v>
      </c>
      <c r="I56" s="120">
        <v>8039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296"/>
      <c r="AQ56" s="296"/>
    </row>
    <row r="57" spans="1:43" s="1" customFormat="1" x14ac:dyDescent="0.25">
      <c r="A57" s="247" t="s">
        <v>73</v>
      </c>
      <c r="B57" s="378">
        <v>47975</v>
      </c>
      <c r="C57" s="378">
        <f>'[1]Quadro 1'!$B$81</f>
        <v>55180</v>
      </c>
      <c r="D57" s="378">
        <v>62386</v>
      </c>
      <c r="E57" s="378">
        <v>55914</v>
      </c>
      <c r="F57" s="122">
        <v>59985</v>
      </c>
      <c r="G57" s="122">
        <v>63802</v>
      </c>
      <c r="H57" s="122">
        <v>67619</v>
      </c>
      <c r="I57" s="122">
        <v>65673</v>
      </c>
      <c r="J57" s="122">
        <v>64384</v>
      </c>
      <c r="K57" s="122">
        <v>64608</v>
      </c>
      <c r="L57" s="122">
        <v>64833</v>
      </c>
      <c r="M57" s="122">
        <v>72248</v>
      </c>
      <c r="N57" s="122">
        <v>74411</v>
      </c>
      <c r="O57" s="122">
        <v>78235</v>
      </c>
      <c r="P57" s="122">
        <v>96774</v>
      </c>
      <c r="Q57" s="122">
        <v>100497</v>
      </c>
      <c r="R57" s="122">
        <v>108581</v>
      </c>
      <c r="S57" s="122">
        <v>22301</v>
      </c>
      <c r="T57" s="122">
        <v>49052</v>
      </c>
      <c r="U57" s="122">
        <v>65727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v>0</v>
      </c>
      <c r="AD57" s="122">
        <v>0</v>
      </c>
      <c r="AE57" s="122">
        <v>0</v>
      </c>
      <c r="AF57" s="122">
        <v>0</v>
      </c>
      <c r="AG57" s="122">
        <v>0</v>
      </c>
      <c r="AH57" s="122">
        <v>0</v>
      </c>
      <c r="AI57" s="122">
        <v>0</v>
      </c>
      <c r="AJ57" s="122">
        <v>0</v>
      </c>
      <c r="AK57" s="122">
        <v>0</v>
      </c>
      <c r="AL57" s="122">
        <v>0</v>
      </c>
      <c r="AM57" s="122">
        <v>0</v>
      </c>
      <c r="AN57" s="122">
        <v>0</v>
      </c>
      <c r="AO57" s="122">
        <v>0</v>
      </c>
      <c r="AP57" s="296"/>
      <c r="AQ57" s="296"/>
    </row>
    <row r="58" spans="1:43" s="1" customFormat="1" x14ac:dyDescent="0.25">
      <c r="A58" s="246" t="s">
        <v>74</v>
      </c>
      <c r="B58" s="377">
        <v>91336</v>
      </c>
      <c r="C58" s="377">
        <f>'[1]Quadro 1'!$B$82</f>
        <v>79953</v>
      </c>
      <c r="D58" s="377">
        <v>64740</v>
      </c>
      <c r="E58" s="377">
        <v>56210</v>
      </c>
      <c r="F58" s="120">
        <v>46024</v>
      </c>
      <c r="G58" s="120">
        <v>32384</v>
      </c>
      <c r="H58" s="120">
        <v>20186</v>
      </c>
      <c r="I58" s="120">
        <v>29274</v>
      </c>
      <c r="J58" s="120">
        <v>17448</v>
      </c>
      <c r="K58" s="120">
        <v>4433</v>
      </c>
      <c r="L58" s="120">
        <v>18201</v>
      </c>
      <c r="M58" s="120">
        <v>11347</v>
      </c>
      <c r="N58" s="120">
        <v>25342</v>
      </c>
      <c r="O58" s="120">
        <v>27624</v>
      </c>
      <c r="P58" s="120">
        <v>18218</v>
      </c>
      <c r="Q58" s="120">
        <v>27416</v>
      </c>
      <c r="R58" s="120">
        <v>18335</v>
      </c>
      <c r="S58" s="120">
        <v>19202</v>
      </c>
      <c r="T58" s="120">
        <v>12421</v>
      </c>
      <c r="U58" s="120">
        <v>4717</v>
      </c>
      <c r="V58" s="120">
        <v>9796</v>
      </c>
      <c r="W58" s="120">
        <v>12336</v>
      </c>
      <c r="X58" s="120">
        <v>2096</v>
      </c>
      <c r="Y58" s="120">
        <v>21186</v>
      </c>
      <c r="Z58" s="120">
        <v>19868</v>
      </c>
      <c r="AA58" s="120">
        <v>32944</v>
      </c>
      <c r="AB58" s="120">
        <v>27410</v>
      </c>
      <c r="AC58" s="120">
        <v>39392</v>
      </c>
      <c r="AD58" s="120">
        <v>33087</v>
      </c>
      <c r="AE58" s="120">
        <v>35365</v>
      </c>
      <c r="AF58" s="120">
        <v>27299</v>
      </c>
      <c r="AG58" s="120">
        <v>33087</v>
      </c>
      <c r="AH58" s="120">
        <v>27968</v>
      </c>
      <c r="AI58" s="120">
        <v>36220</v>
      </c>
      <c r="AJ58" s="120">
        <v>28452</v>
      </c>
      <c r="AK58" s="120">
        <v>36002</v>
      </c>
      <c r="AL58" s="120">
        <v>28317</v>
      </c>
      <c r="AM58" s="120">
        <v>36645</v>
      </c>
      <c r="AN58" s="120">
        <v>28464</v>
      </c>
      <c r="AO58" s="120">
        <v>34876</v>
      </c>
      <c r="AP58" s="296"/>
      <c r="AQ58" s="296"/>
    </row>
    <row r="59" spans="1:43" s="1" customFormat="1" x14ac:dyDescent="0.25">
      <c r="A59" s="247" t="s">
        <v>75</v>
      </c>
      <c r="B59" s="378">
        <v>125194</v>
      </c>
      <c r="C59" s="378">
        <f>'[1]Quadro 1'!$B$83</f>
        <v>181630</v>
      </c>
      <c r="D59" s="378">
        <v>161134</v>
      </c>
      <c r="E59" s="378">
        <v>126921</v>
      </c>
      <c r="F59" s="122">
        <v>115971</v>
      </c>
      <c r="G59" s="122">
        <v>167533</v>
      </c>
      <c r="H59" s="122">
        <v>150732</v>
      </c>
      <c r="I59" s="122">
        <v>123963</v>
      </c>
      <c r="J59" s="122">
        <v>115357</v>
      </c>
      <c r="K59" s="122">
        <v>169180</v>
      </c>
      <c r="L59" s="122">
        <v>148897</v>
      </c>
      <c r="M59" s="122">
        <v>120457</v>
      </c>
      <c r="N59" s="122">
        <v>111315</v>
      </c>
      <c r="O59" s="122">
        <v>156021</v>
      </c>
      <c r="P59" s="122">
        <v>132966</v>
      </c>
      <c r="Q59" s="122">
        <v>107906</v>
      </c>
      <c r="R59" s="122">
        <v>99837</v>
      </c>
      <c r="S59" s="122">
        <v>144201</v>
      </c>
      <c r="T59" s="122">
        <v>130727</v>
      </c>
      <c r="U59" s="122">
        <v>97657</v>
      </c>
      <c r="V59" s="122">
        <v>102606</v>
      </c>
      <c r="W59" s="122">
        <v>151441</v>
      </c>
      <c r="X59" s="122">
        <v>128388</v>
      </c>
      <c r="Y59" s="122">
        <v>108609</v>
      </c>
      <c r="Z59" s="122">
        <v>98436</v>
      </c>
      <c r="AA59" s="122">
        <v>139977</v>
      </c>
      <c r="AB59" s="122">
        <v>118479</v>
      </c>
      <c r="AC59" s="122">
        <v>99433</v>
      </c>
      <c r="AD59" s="122">
        <v>92023</v>
      </c>
      <c r="AE59" s="122">
        <v>130044</v>
      </c>
      <c r="AF59" s="122">
        <v>109885</v>
      </c>
      <c r="AG59" s="122">
        <v>92023</v>
      </c>
      <c r="AH59" s="122">
        <v>84653</v>
      </c>
      <c r="AI59" s="122">
        <v>113407</v>
      </c>
      <c r="AJ59" s="122">
        <v>101693</v>
      </c>
      <c r="AK59" s="122">
        <v>82692</v>
      </c>
      <c r="AL59" s="122">
        <v>76587</v>
      </c>
      <c r="AM59" s="122">
        <v>109288</v>
      </c>
      <c r="AN59" s="122">
        <v>92477</v>
      </c>
      <c r="AO59" s="122">
        <v>75056</v>
      </c>
      <c r="AP59" s="296"/>
      <c r="AQ59" s="296"/>
    </row>
    <row r="60" spans="1:43" s="1" customFormat="1" x14ac:dyDescent="0.25">
      <c r="A60" s="246" t="s">
        <v>76</v>
      </c>
      <c r="B60" s="377">
        <v>0</v>
      </c>
      <c r="C60" s="377">
        <f>'[1]Quadro 1'!$B$76</f>
        <v>18225</v>
      </c>
      <c r="D60" s="246">
        <v>0</v>
      </c>
      <c r="E60" s="246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379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296"/>
      <c r="AQ60" s="296"/>
    </row>
    <row r="61" spans="1:43" s="1" customFormat="1" x14ac:dyDescent="0.25">
      <c r="A61" s="247" t="s">
        <v>77</v>
      </c>
      <c r="B61" s="378">
        <v>0</v>
      </c>
      <c r="C61" s="247">
        <v>0</v>
      </c>
      <c r="D61" s="247">
        <v>0</v>
      </c>
      <c r="E61" s="247">
        <v>0</v>
      </c>
      <c r="F61" s="122">
        <v>14289</v>
      </c>
      <c r="G61" s="122">
        <v>33905</v>
      </c>
      <c r="H61" s="122">
        <v>53491</v>
      </c>
      <c r="I61" s="122">
        <v>72510</v>
      </c>
      <c r="J61" s="122">
        <v>77966</v>
      </c>
      <c r="K61" s="122">
        <v>73976</v>
      </c>
      <c r="L61" s="122">
        <v>72882</v>
      </c>
      <c r="M61" s="122">
        <v>71789</v>
      </c>
      <c r="N61" s="122">
        <v>70696</v>
      </c>
      <c r="O61" s="122">
        <v>67615</v>
      </c>
      <c r="P61" s="122">
        <v>66553</v>
      </c>
      <c r="Q61" s="122">
        <v>65491</v>
      </c>
      <c r="R61" s="122">
        <v>64429</v>
      </c>
      <c r="S61" s="122">
        <v>59455</v>
      </c>
      <c r="T61" s="122">
        <v>58458</v>
      </c>
      <c r="U61" s="122">
        <v>57462</v>
      </c>
      <c r="V61" s="122">
        <v>56465</v>
      </c>
      <c r="W61" s="122">
        <v>50103</v>
      </c>
      <c r="X61" s="122">
        <v>49203</v>
      </c>
      <c r="Y61" s="122">
        <v>48303</v>
      </c>
      <c r="Z61" s="122">
        <v>47403</v>
      </c>
      <c r="AA61" s="122">
        <v>43681</v>
      </c>
      <c r="AB61" s="122">
        <v>42835</v>
      </c>
      <c r="AC61" s="122">
        <v>41990</v>
      </c>
      <c r="AD61" s="122">
        <v>41144</v>
      </c>
      <c r="AE61" s="122">
        <v>38072</v>
      </c>
      <c r="AF61" s="122">
        <v>37273</v>
      </c>
      <c r="AG61" s="122">
        <v>41144</v>
      </c>
      <c r="AH61" s="122">
        <v>35676</v>
      </c>
      <c r="AI61" s="122">
        <v>32971</v>
      </c>
      <c r="AJ61" s="122">
        <v>35727</v>
      </c>
      <c r="AK61" s="122">
        <v>38483</v>
      </c>
      <c r="AL61" s="122">
        <v>41239</v>
      </c>
      <c r="AM61" s="122">
        <v>42150</v>
      </c>
      <c r="AN61" s="122">
        <v>41442</v>
      </c>
      <c r="AO61" s="122">
        <v>40733</v>
      </c>
      <c r="AP61" s="296"/>
      <c r="AQ61" s="296"/>
    </row>
    <row r="62" spans="1:43" s="1" customFormat="1" x14ac:dyDescent="0.25">
      <c r="A62" s="246" t="s">
        <v>78</v>
      </c>
      <c r="B62" s="246">
        <v>0</v>
      </c>
      <c r="C62" s="246">
        <v>0</v>
      </c>
      <c r="D62" s="246">
        <v>0</v>
      </c>
      <c r="E62" s="246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10748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296"/>
      <c r="AQ62" s="296"/>
    </row>
    <row r="63" spans="1:43" s="1" customFormat="1" x14ac:dyDescent="0.25">
      <c r="A63" s="247" t="s">
        <v>55</v>
      </c>
      <c r="B63" s="378">
        <v>3547</v>
      </c>
      <c r="C63" s="378">
        <f>'[1]Quadro 1'!$B$85</f>
        <v>3066</v>
      </c>
      <c r="D63" s="378">
        <v>1856</v>
      </c>
      <c r="E63" s="378">
        <v>1959</v>
      </c>
      <c r="F63" s="122">
        <v>3326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v>0</v>
      </c>
      <c r="O63" s="122">
        <v>0</v>
      </c>
      <c r="P63" s="122">
        <v>0</v>
      </c>
      <c r="Q63" s="122">
        <v>0</v>
      </c>
      <c r="R63" s="122">
        <v>0</v>
      </c>
      <c r="S63" s="122">
        <v>0</v>
      </c>
      <c r="T63" s="122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22">
        <v>0</v>
      </c>
      <c r="AD63" s="122">
        <v>6547</v>
      </c>
      <c r="AE63" s="122">
        <v>13112</v>
      </c>
      <c r="AF63" s="122">
        <v>32956</v>
      </c>
      <c r="AG63" s="122">
        <v>6547</v>
      </c>
      <c r="AH63" s="122">
        <v>31851</v>
      </c>
      <c r="AI63" s="122">
        <v>37554</v>
      </c>
      <c r="AJ63" s="122">
        <v>37792</v>
      </c>
      <c r="AK63" s="122">
        <v>3421</v>
      </c>
      <c r="AL63" s="122">
        <v>0</v>
      </c>
      <c r="AM63" s="122">
        <v>0</v>
      </c>
      <c r="AN63" s="122">
        <v>0</v>
      </c>
      <c r="AO63" s="122">
        <v>0</v>
      </c>
      <c r="AP63" s="296"/>
      <c r="AQ63" s="296"/>
    </row>
    <row r="64" spans="1:43" s="1" customFormat="1" x14ac:dyDescent="0.25">
      <c r="A64" s="246" t="s">
        <v>79</v>
      </c>
      <c r="B64" s="377">
        <v>21998</v>
      </c>
      <c r="C64" s="377">
        <f>'[1]Quadro 1'!$B$86</f>
        <v>20085</v>
      </c>
      <c r="D64" s="377">
        <v>33041</v>
      </c>
      <c r="E64" s="377">
        <v>30135</v>
      </c>
      <c r="F64" s="120">
        <v>42170</v>
      </c>
      <c r="G64" s="120">
        <v>34348</v>
      </c>
      <c r="H64" s="120">
        <v>33617</v>
      </c>
      <c r="I64" s="120">
        <v>32880</v>
      </c>
      <c r="J64" s="120">
        <v>39346</v>
      </c>
      <c r="K64" s="120">
        <v>32015</v>
      </c>
      <c r="L64" s="120">
        <v>30618</v>
      </c>
      <c r="M64" s="120">
        <v>30300</v>
      </c>
      <c r="N64" s="120">
        <v>36088</v>
      </c>
      <c r="O64" s="120">
        <v>29162</v>
      </c>
      <c r="P64" s="120">
        <v>28410</v>
      </c>
      <c r="Q64" s="120">
        <v>27911</v>
      </c>
      <c r="R64" s="120">
        <v>33127</v>
      </c>
      <c r="S64" s="120">
        <v>27138</v>
      </c>
      <c r="T64" s="120">
        <v>26422</v>
      </c>
      <c r="U64" s="120">
        <v>25358</v>
      </c>
      <c r="V64" s="120">
        <v>31424</v>
      </c>
      <c r="W64" s="120">
        <v>25036</v>
      </c>
      <c r="X64" s="120">
        <v>24181</v>
      </c>
      <c r="Y64" s="120">
        <v>23630</v>
      </c>
      <c r="Z64" s="120">
        <v>28730</v>
      </c>
      <c r="AA64" s="120">
        <v>23697</v>
      </c>
      <c r="AB64" s="120">
        <v>21806</v>
      </c>
      <c r="AC64" s="120">
        <v>21430</v>
      </c>
      <c r="AD64" s="120">
        <v>26409</v>
      </c>
      <c r="AE64" s="120">
        <v>20619</v>
      </c>
      <c r="AF64" s="120">
        <v>20083</v>
      </c>
      <c r="AG64" s="120">
        <v>26409</v>
      </c>
      <c r="AH64" s="120">
        <v>24602</v>
      </c>
      <c r="AI64" s="120">
        <v>12893</v>
      </c>
      <c r="AJ64" s="120">
        <v>18377</v>
      </c>
      <c r="AK64" s="120">
        <v>18100</v>
      </c>
      <c r="AL64" s="120">
        <v>12119</v>
      </c>
      <c r="AM64" s="120">
        <v>17968</v>
      </c>
      <c r="AN64" s="120">
        <v>17425</v>
      </c>
      <c r="AO64" s="120">
        <v>11526</v>
      </c>
      <c r="AP64" s="296"/>
      <c r="AQ64" s="296"/>
    </row>
    <row r="65" spans="1:43" s="1" customFormat="1" x14ac:dyDescent="0.25">
      <c r="A65" s="247" t="s">
        <v>80</v>
      </c>
      <c r="B65" s="378">
        <v>72270</v>
      </c>
      <c r="C65" s="378">
        <f>'[1]Quadro 1'!$B$87</f>
        <v>59857</v>
      </c>
      <c r="D65" s="378">
        <v>41917</v>
      </c>
      <c r="E65" s="378">
        <v>123948</v>
      </c>
      <c r="F65" s="122">
        <v>80719</v>
      </c>
      <c r="G65" s="122">
        <v>71887</v>
      </c>
      <c r="H65" s="122">
        <v>98175</v>
      </c>
      <c r="I65" s="122">
        <v>143799</v>
      </c>
      <c r="J65" s="122">
        <v>93397</v>
      </c>
      <c r="K65" s="122">
        <v>78378</v>
      </c>
      <c r="L65" s="122">
        <v>48818</v>
      </c>
      <c r="M65" s="122">
        <v>116611</v>
      </c>
      <c r="N65" s="122">
        <v>43748</v>
      </c>
      <c r="O65" s="122">
        <v>55557</v>
      </c>
      <c r="P65" s="122">
        <v>54098</v>
      </c>
      <c r="Q65" s="122">
        <v>66539</v>
      </c>
      <c r="R65" s="122">
        <v>65406</v>
      </c>
      <c r="S65" s="122">
        <v>79572</v>
      </c>
      <c r="T65" s="122">
        <v>51352</v>
      </c>
      <c r="U65" s="122">
        <v>32309</v>
      </c>
      <c r="V65" s="122">
        <v>7590</v>
      </c>
      <c r="W65" s="122">
        <v>7804</v>
      </c>
      <c r="X65" s="122">
        <v>6632</v>
      </c>
      <c r="Y65" s="122">
        <v>5574</v>
      </c>
      <c r="Z65" s="122">
        <v>2516</v>
      </c>
      <c r="AA65" s="122">
        <v>32809</v>
      </c>
      <c r="AB65" s="122">
        <v>33431</v>
      </c>
      <c r="AC65" s="122">
        <v>66391</v>
      </c>
      <c r="AD65" s="122">
        <v>31646</v>
      </c>
      <c r="AE65" s="122">
        <v>31093</v>
      </c>
      <c r="AF65" s="122">
        <v>36423</v>
      </c>
      <c r="AG65" s="122">
        <v>31646</v>
      </c>
      <c r="AH65" s="122">
        <v>46469</v>
      </c>
      <c r="AI65" s="122">
        <v>36843</v>
      </c>
      <c r="AJ65" s="122">
        <v>36118</v>
      </c>
      <c r="AK65" s="122">
        <v>64676</v>
      </c>
      <c r="AL65" s="122">
        <v>26921</v>
      </c>
      <c r="AM65" s="122">
        <v>39595</v>
      </c>
      <c r="AN65" s="122">
        <v>41373</v>
      </c>
      <c r="AO65" s="122">
        <v>103180</v>
      </c>
      <c r="AP65" s="296"/>
      <c r="AQ65" s="296"/>
    </row>
    <row r="66" spans="1:43" s="1" customFormat="1" x14ac:dyDescent="0.25">
      <c r="A66" s="246" t="s">
        <v>81</v>
      </c>
      <c r="B66" s="246">
        <v>0</v>
      </c>
      <c r="C66" s="246">
        <v>0</v>
      </c>
      <c r="D66" s="246">
        <v>0</v>
      </c>
      <c r="E66" s="246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6930</v>
      </c>
      <c r="AA66" s="120">
        <v>4004</v>
      </c>
      <c r="AB66" s="120">
        <v>16428</v>
      </c>
      <c r="AC66" s="120">
        <v>5958</v>
      </c>
      <c r="AD66" s="120">
        <v>10832</v>
      </c>
      <c r="AE66" s="120">
        <v>7533</v>
      </c>
      <c r="AF66" s="120">
        <v>4949</v>
      </c>
      <c r="AG66" s="120">
        <v>10832</v>
      </c>
      <c r="AH66" s="120">
        <v>6618</v>
      </c>
      <c r="AI66" s="120">
        <v>6561</v>
      </c>
      <c r="AJ66" s="120">
        <v>10926</v>
      </c>
      <c r="AK66" s="120">
        <v>17996</v>
      </c>
      <c r="AL66" s="120">
        <v>24670</v>
      </c>
      <c r="AM66" s="120">
        <v>28935</v>
      </c>
      <c r="AN66" s="120">
        <v>27846</v>
      </c>
      <c r="AO66" s="120">
        <v>27313</v>
      </c>
      <c r="AP66" s="296"/>
      <c r="AQ66" s="296"/>
    </row>
    <row r="67" spans="1:43" s="1" customFormat="1" x14ac:dyDescent="0.25">
      <c r="A67" s="247" t="s">
        <v>82</v>
      </c>
      <c r="B67" s="378">
        <v>102304</v>
      </c>
      <c r="C67" s="378">
        <f>'[1]Quadro 1'!$B$89</f>
        <v>91085</v>
      </c>
      <c r="D67" s="378">
        <v>90720</v>
      </c>
      <c r="E67" s="378">
        <v>86709</v>
      </c>
      <c r="F67" s="122">
        <v>72640</v>
      </c>
      <c r="G67" s="122">
        <v>59703</v>
      </c>
      <c r="H67" s="122">
        <v>36311</v>
      </c>
      <c r="I67" s="122">
        <v>19765</v>
      </c>
      <c r="J67" s="122">
        <v>26255</v>
      </c>
      <c r="K67" s="122">
        <v>21180</v>
      </c>
      <c r="L67" s="122">
        <v>25976</v>
      </c>
      <c r="M67" s="122">
        <v>27122</v>
      </c>
      <c r="N67" s="122">
        <v>27580</v>
      </c>
      <c r="O67" s="122">
        <v>27649</v>
      </c>
      <c r="P67" s="122">
        <v>44075</v>
      </c>
      <c r="Q67" s="122">
        <v>28636</v>
      </c>
      <c r="R67" s="122">
        <v>15507</v>
      </c>
      <c r="S67" s="122">
        <v>32466</v>
      </c>
      <c r="T67" s="122">
        <v>30668</v>
      </c>
      <c r="U67" s="122">
        <v>53068</v>
      </c>
      <c r="V67" s="122">
        <v>165822</v>
      </c>
      <c r="W67" s="122">
        <v>27210</v>
      </c>
      <c r="X67" s="122">
        <v>46835</v>
      </c>
      <c r="Y67" s="122">
        <v>30818</v>
      </c>
      <c r="Z67" s="122">
        <v>29444</v>
      </c>
      <c r="AA67" s="122">
        <v>28183</v>
      </c>
      <c r="AB67" s="122">
        <v>35959</v>
      </c>
      <c r="AC67" s="122">
        <v>18921</v>
      </c>
      <c r="AD67" s="122">
        <v>12317</v>
      </c>
      <c r="AE67" s="122">
        <v>12442</v>
      </c>
      <c r="AF67" s="122">
        <v>20948</v>
      </c>
      <c r="AG67" s="122">
        <v>12317</v>
      </c>
      <c r="AH67" s="122">
        <v>13652</v>
      </c>
      <c r="AI67" s="122">
        <v>49129</v>
      </c>
      <c r="AJ67" s="122">
        <v>46997</v>
      </c>
      <c r="AK67" s="122">
        <v>45566</v>
      </c>
      <c r="AL67" s="122">
        <v>56558</v>
      </c>
      <c r="AM67" s="122">
        <v>22312</v>
      </c>
      <c r="AN67" s="122">
        <v>33737</v>
      </c>
      <c r="AO67" s="122">
        <v>25914</v>
      </c>
      <c r="AP67" s="296"/>
      <c r="AQ67" s="296"/>
    </row>
    <row r="68" spans="1:43" s="1" customFormat="1" x14ac:dyDescent="0.25">
      <c r="A68" s="246"/>
      <c r="B68" s="246"/>
      <c r="C68" s="246"/>
      <c r="D68" s="246"/>
      <c r="E68" s="246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296"/>
      <c r="AQ68" s="296"/>
    </row>
    <row r="69" spans="1:43" s="1" customFormat="1" ht="15.75" x14ac:dyDescent="0.25">
      <c r="A69" s="193" t="s">
        <v>376</v>
      </c>
      <c r="B69" s="116">
        <f t="shared" ref="B69:H69" si="6">SUM(B52:B68)</f>
        <v>1378860</v>
      </c>
      <c r="C69" s="116">
        <f t="shared" si="6"/>
        <v>1467598</v>
      </c>
      <c r="D69" s="116">
        <f t="shared" si="6"/>
        <v>1215552</v>
      </c>
      <c r="E69" s="116">
        <f t="shared" si="6"/>
        <v>1146523</v>
      </c>
      <c r="F69" s="116">
        <f t="shared" si="6"/>
        <v>1110250</v>
      </c>
      <c r="G69" s="116">
        <f t="shared" si="6"/>
        <v>1157651</v>
      </c>
      <c r="H69" s="116">
        <f t="shared" si="6"/>
        <v>1163810</v>
      </c>
      <c r="I69" s="116">
        <f t="shared" ref="I69:AO69" si="7">SUM(I52:I68)</f>
        <v>1298574</v>
      </c>
      <c r="J69" s="116">
        <f t="shared" si="7"/>
        <v>1328583</v>
      </c>
      <c r="K69" s="116">
        <f t="shared" si="7"/>
        <v>1319236</v>
      </c>
      <c r="L69" s="116">
        <f t="shared" si="7"/>
        <v>1401729</v>
      </c>
      <c r="M69" s="116">
        <f t="shared" si="7"/>
        <v>1287437</v>
      </c>
      <c r="N69" s="116">
        <f t="shared" si="7"/>
        <v>1246970</v>
      </c>
      <c r="O69" s="116">
        <f t="shared" si="7"/>
        <v>1286051</v>
      </c>
      <c r="P69" s="116">
        <f t="shared" si="7"/>
        <v>1214945</v>
      </c>
      <c r="Q69" s="116">
        <f t="shared" si="7"/>
        <v>1178973</v>
      </c>
      <c r="R69" s="116">
        <f t="shared" si="7"/>
        <v>1124297</v>
      </c>
      <c r="S69" s="116">
        <f t="shared" si="7"/>
        <v>1052951</v>
      </c>
      <c r="T69" s="116">
        <f t="shared" si="7"/>
        <v>1010390</v>
      </c>
      <c r="U69" s="116">
        <f t="shared" si="7"/>
        <v>989291</v>
      </c>
      <c r="V69" s="116">
        <f t="shared" si="7"/>
        <v>1078486</v>
      </c>
      <c r="W69" s="116">
        <f t="shared" si="7"/>
        <v>1101856</v>
      </c>
      <c r="X69" s="116">
        <f t="shared" si="7"/>
        <v>1068109</v>
      </c>
      <c r="Y69" s="116">
        <f t="shared" si="7"/>
        <v>1001875</v>
      </c>
      <c r="Z69" s="116">
        <f t="shared" si="7"/>
        <v>1005981</v>
      </c>
      <c r="AA69" s="116">
        <f t="shared" si="7"/>
        <v>933960</v>
      </c>
      <c r="AB69" s="116">
        <f t="shared" si="7"/>
        <v>938786</v>
      </c>
      <c r="AC69" s="116">
        <f t="shared" si="7"/>
        <v>941789</v>
      </c>
      <c r="AD69" s="116">
        <f t="shared" si="7"/>
        <v>914633</v>
      </c>
      <c r="AE69" s="116">
        <f t="shared" si="7"/>
        <v>984961</v>
      </c>
      <c r="AF69" s="116">
        <f t="shared" si="7"/>
        <v>964473</v>
      </c>
      <c r="AG69" s="116">
        <f t="shared" si="7"/>
        <v>914633</v>
      </c>
      <c r="AH69" s="116">
        <f t="shared" si="7"/>
        <v>839184</v>
      </c>
      <c r="AI69" s="116">
        <f t="shared" si="7"/>
        <v>864218</v>
      </c>
      <c r="AJ69" s="116">
        <f t="shared" si="7"/>
        <v>1013659</v>
      </c>
      <c r="AK69" s="116">
        <f t="shared" si="7"/>
        <v>1050518</v>
      </c>
      <c r="AL69" s="116">
        <f t="shared" si="7"/>
        <v>967962</v>
      </c>
      <c r="AM69" s="116">
        <f t="shared" si="7"/>
        <v>1001385</v>
      </c>
      <c r="AN69" s="116">
        <f t="shared" si="7"/>
        <v>792619</v>
      </c>
      <c r="AO69" s="116">
        <f t="shared" si="7"/>
        <v>747509</v>
      </c>
      <c r="AP69" s="296"/>
      <c r="AQ69" s="296"/>
    </row>
    <row r="70" spans="1:43" s="296" customFormat="1" ht="15.75" x14ac:dyDescent="0.25">
      <c r="A70" s="383"/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</row>
    <row r="71" spans="1:43" s="1" customFormat="1" ht="15.75" x14ac:dyDescent="0.25">
      <c r="A71" s="209" t="s">
        <v>427</v>
      </c>
      <c r="B71" s="209"/>
      <c r="C71" s="209"/>
      <c r="D71" s="209"/>
      <c r="E71" s="209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296"/>
      <c r="AQ71" s="296"/>
    </row>
    <row r="72" spans="1:43" s="1" customFormat="1" x14ac:dyDescent="0.25">
      <c r="A72" s="39"/>
      <c r="B72" s="39"/>
      <c r="C72" s="39"/>
      <c r="D72" s="39"/>
      <c r="E72" s="3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296"/>
      <c r="AQ72" s="296"/>
    </row>
    <row r="73" spans="1:43" s="1" customFormat="1" x14ac:dyDescent="0.25">
      <c r="A73" s="247" t="s">
        <v>340</v>
      </c>
      <c r="B73" s="247"/>
      <c r="C73" s="247"/>
      <c r="D73" s="247"/>
      <c r="E73" s="247"/>
      <c r="F73" s="122"/>
      <c r="G73" s="122"/>
      <c r="H73" s="122"/>
      <c r="I73" s="122"/>
      <c r="J73" s="122"/>
      <c r="K73" s="122"/>
      <c r="L73" s="122"/>
      <c r="M73" s="122">
        <v>0</v>
      </c>
      <c r="N73" s="122">
        <v>0</v>
      </c>
      <c r="O73" s="122">
        <v>0</v>
      </c>
      <c r="P73" s="122">
        <v>0</v>
      </c>
      <c r="Q73" s="122">
        <v>0</v>
      </c>
      <c r="R73" s="122">
        <v>0</v>
      </c>
      <c r="S73" s="122">
        <v>0</v>
      </c>
      <c r="T73" s="122">
        <v>0</v>
      </c>
      <c r="U73" s="122">
        <v>0</v>
      </c>
      <c r="V73" s="122">
        <v>0</v>
      </c>
      <c r="W73" s="122">
        <v>0</v>
      </c>
      <c r="X73" s="122">
        <v>0</v>
      </c>
      <c r="Y73" s="122">
        <v>0</v>
      </c>
      <c r="Z73" s="122">
        <v>0</v>
      </c>
      <c r="AA73" s="122">
        <v>0</v>
      </c>
      <c r="AB73" s="122">
        <v>0</v>
      </c>
      <c r="AC73" s="122">
        <v>0</v>
      </c>
      <c r="AD73" s="122">
        <v>0</v>
      </c>
      <c r="AE73" s="122">
        <v>0</v>
      </c>
      <c r="AF73" s="122">
        <v>0</v>
      </c>
      <c r="AG73" s="122">
        <v>0</v>
      </c>
      <c r="AH73" s="122">
        <v>0</v>
      </c>
      <c r="AI73" s="122">
        <v>0</v>
      </c>
      <c r="AJ73" s="122">
        <v>0</v>
      </c>
      <c r="AK73" s="122">
        <v>0</v>
      </c>
      <c r="AL73" s="122">
        <v>0</v>
      </c>
      <c r="AM73" s="122">
        <v>0</v>
      </c>
      <c r="AN73" s="122">
        <v>0</v>
      </c>
      <c r="AO73" s="122">
        <v>0</v>
      </c>
      <c r="AP73" s="296"/>
      <c r="AQ73" s="296"/>
    </row>
    <row r="74" spans="1:43" s="1" customFormat="1" x14ac:dyDescent="0.25">
      <c r="A74" s="249" t="s">
        <v>70</v>
      </c>
      <c r="B74" s="120">
        <v>1072146</v>
      </c>
      <c r="C74" s="120">
        <f>'[1]Quadro 1'!$B$96</f>
        <v>1150055</v>
      </c>
      <c r="D74" s="120">
        <v>1147999</v>
      </c>
      <c r="E74" s="120">
        <v>1155242</v>
      </c>
      <c r="F74" s="120">
        <v>1110936</v>
      </c>
      <c r="G74" s="120">
        <v>1157191</v>
      </c>
      <c r="H74" s="120">
        <v>1159346</v>
      </c>
      <c r="I74" s="120">
        <v>1201588</v>
      </c>
      <c r="J74" s="120">
        <v>1224441</v>
      </c>
      <c r="K74" s="120">
        <v>1275586</v>
      </c>
      <c r="L74" s="120">
        <v>1264631</v>
      </c>
      <c r="M74" s="120">
        <v>1235749</v>
      </c>
      <c r="N74" s="120">
        <v>1241502</v>
      </c>
      <c r="O74" s="120">
        <v>1244946</v>
      </c>
      <c r="P74" s="120">
        <v>1245974</v>
      </c>
      <c r="Q74" s="120">
        <v>1240845</v>
      </c>
      <c r="R74" s="120">
        <v>1252992</v>
      </c>
      <c r="S74" s="120">
        <v>1281490</v>
      </c>
      <c r="T74" s="120">
        <v>1269521</v>
      </c>
      <c r="U74" s="120">
        <v>1313466</v>
      </c>
      <c r="V74" s="120">
        <v>1338238</v>
      </c>
      <c r="W74" s="120">
        <v>1371265</v>
      </c>
      <c r="X74" s="120">
        <v>1286639</v>
      </c>
      <c r="Y74" s="120">
        <v>1324578</v>
      </c>
      <c r="Z74" s="120">
        <v>1263636</v>
      </c>
      <c r="AA74" s="120">
        <v>1167913</v>
      </c>
      <c r="AB74" s="120">
        <v>1141900</v>
      </c>
      <c r="AC74" s="120">
        <v>1222292</v>
      </c>
      <c r="AD74" s="120">
        <v>1192469</v>
      </c>
      <c r="AE74" s="120">
        <v>1170209</v>
      </c>
      <c r="AF74" s="120">
        <v>1163983</v>
      </c>
      <c r="AG74" s="120">
        <v>1192469</v>
      </c>
      <c r="AH74" s="120">
        <v>1152892</v>
      </c>
      <c r="AI74" s="120">
        <v>1178101</v>
      </c>
      <c r="AJ74" s="120">
        <v>1203966</v>
      </c>
      <c r="AK74" s="120">
        <v>1222341</v>
      </c>
      <c r="AL74" s="120">
        <v>1248370</v>
      </c>
      <c r="AM74" s="120">
        <v>1237765</v>
      </c>
      <c r="AN74" s="120">
        <v>1247172</v>
      </c>
      <c r="AO74" s="120">
        <v>1174792</v>
      </c>
      <c r="AP74" s="296"/>
      <c r="AQ74" s="296"/>
    </row>
    <row r="75" spans="1:43" s="1" customFormat="1" x14ac:dyDescent="0.25">
      <c r="A75" s="248" t="s">
        <v>71</v>
      </c>
      <c r="B75" s="122">
        <v>2113239</v>
      </c>
      <c r="C75" s="122">
        <f>'[1]Quadro 1'!$B$97</f>
        <v>1606270</v>
      </c>
      <c r="D75" s="122">
        <v>1814016</v>
      </c>
      <c r="E75" s="122">
        <v>1800122</v>
      </c>
      <c r="F75" s="122">
        <v>1814362</v>
      </c>
      <c r="G75" s="122">
        <v>1825941</v>
      </c>
      <c r="H75" s="122">
        <v>1888707</v>
      </c>
      <c r="I75" s="122">
        <v>1684148</v>
      </c>
      <c r="J75" s="122">
        <v>1701895</v>
      </c>
      <c r="K75" s="122">
        <v>1629627</v>
      </c>
      <c r="L75" s="122">
        <v>1216592</v>
      </c>
      <c r="M75" s="122">
        <v>1434046</v>
      </c>
      <c r="N75" s="122">
        <v>1296305</v>
      </c>
      <c r="O75" s="122">
        <v>1354038</v>
      </c>
      <c r="P75" s="122">
        <v>1456424</v>
      </c>
      <c r="Q75" s="122">
        <v>1543417</v>
      </c>
      <c r="R75" s="122">
        <v>1665533</v>
      </c>
      <c r="S75" s="122">
        <v>1722439</v>
      </c>
      <c r="T75" s="122">
        <v>1664889</v>
      </c>
      <c r="U75" s="122">
        <v>1716370</v>
      </c>
      <c r="V75" s="122">
        <v>1762265</v>
      </c>
      <c r="W75" s="122">
        <v>1727546</v>
      </c>
      <c r="X75" s="122">
        <v>1462927</v>
      </c>
      <c r="Y75" s="122">
        <v>1480088</v>
      </c>
      <c r="Z75" s="122">
        <v>1563261</v>
      </c>
      <c r="AA75" s="122">
        <v>1563866</v>
      </c>
      <c r="AB75" s="122">
        <v>1640333</v>
      </c>
      <c r="AC75" s="122">
        <v>1410230</v>
      </c>
      <c r="AD75" s="122">
        <v>1492272</v>
      </c>
      <c r="AE75" s="122">
        <v>1380391</v>
      </c>
      <c r="AF75" s="122">
        <v>1460932</v>
      </c>
      <c r="AG75" s="122">
        <v>1492272</v>
      </c>
      <c r="AH75" s="122">
        <v>1543481</v>
      </c>
      <c r="AI75" s="122">
        <v>1498027</v>
      </c>
      <c r="AJ75" s="122">
        <v>1343309</v>
      </c>
      <c r="AK75" s="122">
        <v>1428804</v>
      </c>
      <c r="AL75" s="122">
        <v>1017907</v>
      </c>
      <c r="AM75" s="122">
        <v>678626</v>
      </c>
      <c r="AN75" s="122">
        <v>657672</v>
      </c>
      <c r="AO75" s="122">
        <v>707710</v>
      </c>
      <c r="AP75" s="296"/>
      <c r="AQ75" s="296"/>
    </row>
    <row r="76" spans="1:43" s="1" customFormat="1" x14ac:dyDescent="0.25">
      <c r="A76" s="249" t="s">
        <v>72</v>
      </c>
      <c r="B76" s="120">
        <v>31512</v>
      </c>
      <c r="C76" s="120">
        <f>'[1]Quadro 1'!$B$98</f>
        <v>14786</v>
      </c>
      <c r="D76" s="120">
        <v>16818</v>
      </c>
      <c r="E76" s="120">
        <v>19440</v>
      </c>
      <c r="F76" s="120">
        <v>21106</v>
      </c>
      <c r="G76" s="120">
        <v>24176</v>
      </c>
      <c r="H76" s="120">
        <v>27192</v>
      </c>
      <c r="I76" s="120">
        <v>28892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0</v>
      </c>
      <c r="AG76" s="120">
        <v>0</v>
      </c>
      <c r="AH76" s="120">
        <v>0</v>
      </c>
      <c r="AI76" s="120">
        <v>0</v>
      </c>
      <c r="AJ76" s="120">
        <v>0</v>
      </c>
      <c r="AK76" s="120">
        <v>0</v>
      </c>
      <c r="AL76" s="120">
        <v>0</v>
      </c>
      <c r="AM76" s="120">
        <v>0</v>
      </c>
      <c r="AN76" s="120">
        <v>0</v>
      </c>
      <c r="AO76" s="120">
        <v>0</v>
      </c>
      <c r="AP76" s="296"/>
      <c r="AQ76" s="296"/>
    </row>
    <row r="77" spans="1:43" s="1" customFormat="1" x14ac:dyDescent="0.25">
      <c r="A77" s="248" t="s">
        <v>83</v>
      </c>
      <c r="B77" s="122">
        <v>258251</v>
      </c>
      <c r="C77" s="122">
        <f>'[1]Quadro 1'!$B$99</f>
        <v>265903</v>
      </c>
      <c r="D77" s="122">
        <v>273554</v>
      </c>
      <c r="E77" s="122">
        <v>290997</v>
      </c>
      <c r="F77" s="122">
        <v>297434</v>
      </c>
      <c r="G77" s="122">
        <v>308493</v>
      </c>
      <c r="H77" s="122">
        <v>319552</v>
      </c>
      <c r="I77" s="122">
        <v>336374</v>
      </c>
      <c r="J77" s="122">
        <v>350487</v>
      </c>
      <c r="K77" s="122">
        <v>363165</v>
      </c>
      <c r="L77" s="122">
        <v>374257</v>
      </c>
      <c r="M77" s="122">
        <v>381736</v>
      </c>
      <c r="N77" s="122">
        <v>392217</v>
      </c>
      <c r="O77" s="122">
        <v>404369</v>
      </c>
      <c r="P77" s="122">
        <v>401806</v>
      </c>
      <c r="Q77" s="122">
        <v>423724</v>
      </c>
      <c r="R77" s="122">
        <v>441563</v>
      </c>
      <c r="S77" s="122">
        <v>563642</v>
      </c>
      <c r="T77" s="122">
        <v>563381</v>
      </c>
      <c r="U77" s="122">
        <v>561141</v>
      </c>
      <c r="V77" s="122">
        <v>643795</v>
      </c>
      <c r="W77" s="122">
        <v>530286</v>
      </c>
      <c r="X77" s="122">
        <v>481572</v>
      </c>
      <c r="Y77" s="122">
        <v>368902</v>
      </c>
      <c r="Z77" s="122">
        <v>279885</v>
      </c>
      <c r="AA77" s="122">
        <v>163877</v>
      </c>
      <c r="AB77" s="122">
        <v>0</v>
      </c>
      <c r="AC77" s="122">
        <v>0</v>
      </c>
      <c r="AD77" s="122">
        <v>0</v>
      </c>
      <c r="AE77" s="122">
        <v>0</v>
      </c>
      <c r="AF77" s="122">
        <v>0</v>
      </c>
      <c r="AG77" s="122">
        <v>0</v>
      </c>
      <c r="AH77" s="122">
        <v>0</v>
      </c>
      <c r="AI77" s="122">
        <v>0</v>
      </c>
      <c r="AJ77" s="122">
        <v>0</v>
      </c>
      <c r="AK77" s="122">
        <v>0</v>
      </c>
      <c r="AL77" s="122">
        <v>0</v>
      </c>
      <c r="AM77" s="122">
        <v>0</v>
      </c>
      <c r="AN77" s="122">
        <v>0</v>
      </c>
      <c r="AO77" s="122">
        <v>0</v>
      </c>
      <c r="AP77" s="296"/>
      <c r="AQ77" s="296"/>
    </row>
    <row r="78" spans="1:43" s="1" customFormat="1" x14ac:dyDescent="0.25">
      <c r="A78" s="249" t="s">
        <v>84</v>
      </c>
      <c r="B78" s="120">
        <v>134002</v>
      </c>
      <c r="C78" s="120">
        <f>'[1]Quadro 1'!$B$100</f>
        <v>150883</v>
      </c>
      <c r="D78" s="120">
        <v>187511</v>
      </c>
      <c r="E78" s="120">
        <v>194269</v>
      </c>
      <c r="F78" s="120">
        <v>192448</v>
      </c>
      <c r="G78" s="120">
        <v>186243</v>
      </c>
      <c r="H78" s="120">
        <v>171973</v>
      </c>
      <c r="I78" s="120">
        <v>133190</v>
      </c>
      <c r="J78" s="120">
        <v>130010</v>
      </c>
      <c r="K78" s="120">
        <v>132277</v>
      </c>
      <c r="L78" s="120">
        <v>129804</v>
      </c>
      <c r="M78" s="120">
        <v>124346</v>
      </c>
      <c r="N78" s="120">
        <v>134305</v>
      </c>
      <c r="O78" s="120">
        <v>146093</v>
      </c>
      <c r="P78" s="120">
        <v>158972</v>
      </c>
      <c r="Q78" s="120">
        <v>177400</v>
      </c>
      <c r="R78" s="120">
        <v>185339</v>
      </c>
      <c r="S78" s="120">
        <v>151989</v>
      </c>
      <c r="T78" s="120">
        <v>116702</v>
      </c>
      <c r="U78" s="120">
        <v>98800</v>
      </c>
      <c r="V78" s="120">
        <v>96846</v>
      </c>
      <c r="W78" s="120">
        <v>98957</v>
      </c>
      <c r="X78" s="120">
        <v>130426</v>
      </c>
      <c r="Y78" s="120">
        <v>124630</v>
      </c>
      <c r="Z78" s="120">
        <v>113758</v>
      </c>
      <c r="AA78" s="120">
        <v>90484</v>
      </c>
      <c r="AB78" s="120">
        <v>90685</v>
      </c>
      <c r="AC78" s="120">
        <v>83374</v>
      </c>
      <c r="AD78" s="120">
        <v>76474</v>
      </c>
      <c r="AE78" s="120">
        <v>78047</v>
      </c>
      <c r="AF78" s="120">
        <v>76867</v>
      </c>
      <c r="AG78" s="120">
        <v>76474</v>
      </c>
      <c r="AH78" s="120">
        <v>63932</v>
      </c>
      <c r="AI78" s="120">
        <v>51333</v>
      </c>
      <c r="AJ78" s="120">
        <v>49379</v>
      </c>
      <c r="AK78" s="120">
        <v>58356</v>
      </c>
      <c r="AL78" s="120">
        <v>43956</v>
      </c>
      <c r="AM78" s="120">
        <v>39873</v>
      </c>
      <c r="AN78" s="120">
        <v>38306</v>
      </c>
      <c r="AO78" s="120">
        <v>31955</v>
      </c>
      <c r="AP78" s="296"/>
      <c r="AQ78" s="296"/>
    </row>
    <row r="79" spans="1:43" s="1" customFormat="1" x14ac:dyDescent="0.25">
      <c r="A79" s="248" t="s">
        <v>77</v>
      </c>
      <c r="B79" s="122">
        <v>0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12994</v>
      </c>
      <c r="K79" s="122">
        <v>30823</v>
      </c>
      <c r="L79" s="122">
        <v>48588</v>
      </c>
      <c r="M79" s="122">
        <v>65807</v>
      </c>
      <c r="N79" s="122">
        <v>82478</v>
      </c>
      <c r="O79" s="122">
        <v>95788</v>
      </c>
      <c r="P79" s="122">
        <v>110921</v>
      </c>
      <c r="Q79" s="122">
        <v>125524</v>
      </c>
      <c r="R79" s="122">
        <v>139595</v>
      </c>
      <c r="S79" s="122">
        <v>143682</v>
      </c>
      <c r="T79" s="122">
        <v>155888</v>
      </c>
      <c r="U79" s="122">
        <v>167597</v>
      </c>
      <c r="V79" s="122">
        <v>178807</v>
      </c>
      <c r="W79" s="122">
        <v>171184</v>
      </c>
      <c r="X79" s="122">
        <v>180410</v>
      </c>
      <c r="Y79" s="122">
        <v>189185</v>
      </c>
      <c r="Z79" s="122">
        <v>197511</v>
      </c>
      <c r="AA79" s="122">
        <v>192924</v>
      </c>
      <c r="AB79" s="122">
        <v>199898</v>
      </c>
      <c r="AC79" s="122">
        <v>206450</v>
      </c>
      <c r="AD79" s="122">
        <v>212580</v>
      </c>
      <c r="AE79" s="122">
        <v>206222</v>
      </c>
      <c r="AF79" s="122">
        <v>211214</v>
      </c>
      <c r="AG79" s="122">
        <v>212580</v>
      </c>
      <c r="AH79" s="122">
        <v>220000</v>
      </c>
      <c r="AI79" s="122">
        <v>211566</v>
      </c>
      <c r="AJ79" s="122">
        <v>214775</v>
      </c>
      <c r="AK79" s="122">
        <v>217606</v>
      </c>
      <c r="AL79" s="122">
        <v>220060</v>
      </c>
      <c r="AM79" s="122">
        <v>208462</v>
      </c>
      <c r="AN79" s="122">
        <v>213567</v>
      </c>
      <c r="AO79" s="122">
        <v>218318</v>
      </c>
      <c r="AP79" s="296"/>
      <c r="AQ79" s="296"/>
    </row>
    <row r="80" spans="1:43" s="1" customFormat="1" x14ac:dyDescent="0.25">
      <c r="A80" s="249" t="s">
        <v>78</v>
      </c>
      <c r="B80" s="120">
        <v>0</v>
      </c>
      <c r="C80" s="120">
        <v>0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0.5</v>
      </c>
      <c r="AB80" s="120">
        <v>0</v>
      </c>
      <c r="AC80" s="120">
        <v>0</v>
      </c>
      <c r="AD80" s="120">
        <v>0</v>
      </c>
      <c r="AE80" s="120">
        <v>16456</v>
      </c>
      <c r="AF80" s="120">
        <v>16456</v>
      </c>
      <c r="AG80" s="120">
        <v>0</v>
      </c>
      <c r="AH80" s="120">
        <v>16456</v>
      </c>
      <c r="AI80" s="120">
        <v>27328</v>
      </c>
      <c r="AJ80" s="120">
        <v>16456</v>
      </c>
      <c r="AK80" s="120">
        <v>27064</v>
      </c>
      <c r="AL80" s="120">
        <v>44619</v>
      </c>
      <c r="AM80" s="120">
        <v>44189</v>
      </c>
      <c r="AN80" s="120">
        <v>43709</v>
      </c>
      <c r="AO80" s="120">
        <v>43269</v>
      </c>
      <c r="AP80" s="296"/>
      <c r="AQ80" s="296"/>
    </row>
    <row r="81" spans="1:43" s="1" customFormat="1" x14ac:dyDescent="0.25">
      <c r="A81" s="248" t="s">
        <v>85</v>
      </c>
      <c r="B81" s="122">
        <v>0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22">
        <v>0</v>
      </c>
      <c r="O81" s="122">
        <v>0</v>
      </c>
      <c r="P81" s="122">
        <v>0</v>
      </c>
      <c r="Q81" s="122">
        <v>0</v>
      </c>
      <c r="R81" s="122">
        <v>0</v>
      </c>
      <c r="S81" s="122">
        <v>0</v>
      </c>
      <c r="T81" s="122">
        <v>0</v>
      </c>
      <c r="U81" s="122">
        <v>0</v>
      </c>
      <c r="V81" s="122">
        <v>0</v>
      </c>
      <c r="W81" s="122">
        <v>0</v>
      </c>
      <c r="X81" s="122">
        <v>0</v>
      </c>
      <c r="Y81" s="122">
        <v>0</v>
      </c>
      <c r="Z81" s="122">
        <v>0</v>
      </c>
      <c r="AA81" s="122">
        <v>0</v>
      </c>
      <c r="AB81" s="122">
        <v>0</v>
      </c>
      <c r="AC81" s="122">
        <v>0</v>
      </c>
      <c r="AD81" s="122">
        <v>0</v>
      </c>
      <c r="AE81" s="122">
        <v>0</v>
      </c>
      <c r="AF81" s="122">
        <v>0</v>
      </c>
      <c r="AG81" s="122">
        <v>0</v>
      </c>
      <c r="AH81" s="122">
        <v>0</v>
      </c>
      <c r="AI81" s="122">
        <v>0</v>
      </c>
      <c r="AJ81" s="122">
        <v>0</v>
      </c>
      <c r="AK81" s="122">
        <v>0</v>
      </c>
      <c r="AL81" s="122">
        <v>0</v>
      </c>
      <c r="AM81" s="122">
        <v>0</v>
      </c>
      <c r="AN81" s="122">
        <v>0</v>
      </c>
      <c r="AO81" s="122">
        <v>0</v>
      </c>
      <c r="AP81" s="296"/>
      <c r="AQ81" s="296"/>
    </row>
    <row r="82" spans="1:43" s="1" customFormat="1" x14ac:dyDescent="0.25">
      <c r="A82" s="249" t="s">
        <v>79</v>
      </c>
      <c r="B82" s="120">
        <v>223892</v>
      </c>
      <c r="C82" s="120">
        <f>'[1]Quadro 1'!$B$102</f>
        <v>138940</v>
      </c>
      <c r="D82" s="120">
        <v>137821</v>
      </c>
      <c r="E82" s="120">
        <v>136671</v>
      </c>
      <c r="F82" s="120">
        <v>136007</v>
      </c>
      <c r="G82" s="120">
        <v>91808</v>
      </c>
      <c r="H82" s="120">
        <v>96268</v>
      </c>
      <c r="I82" s="120">
        <v>101007</v>
      </c>
      <c r="J82" s="120">
        <v>105483</v>
      </c>
      <c r="K82" s="120">
        <v>66667</v>
      </c>
      <c r="L82" s="120">
        <v>71376</v>
      </c>
      <c r="M82" s="120">
        <v>75741</v>
      </c>
      <c r="N82" s="120">
        <v>80083</v>
      </c>
      <c r="O82" s="120">
        <v>117821</v>
      </c>
      <c r="P82" s="120">
        <v>115192</v>
      </c>
      <c r="Q82" s="120">
        <v>112732</v>
      </c>
      <c r="R82" s="120">
        <v>110300</v>
      </c>
      <c r="S82" s="120">
        <v>103890</v>
      </c>
      <c r="T82" s="120">
        <v>104096</v>
      </c>
      <c r="U82" s="120">
        <v>104381</v>
      </c>
      <c r="V82" s="120">
        <v>104895</v>
      </c>
      <c r="W82" s="120">
        <v>129458</v>
      </c>
      <c r="X82" s="120">
        <v>126695</v>
      </c>
      <c r="Y82" s="120">
        <v>123543</v>
      </c>
      <c r="Z82" s="120">
        <v>121582</v>
      </c>
      <c r="AA82" s="120">
        <v>109131</v>
      </c>
      <c r="AB82" s="120">
        <v>107895</v>
      </c>
      <c r="AC82" s="120">
        <v>106884</v>
      </c>
      <c r="AD82" s="120">
        <v>106010</v>
      </c>
      <c r="AE82" s="120">
        <v>276240</v>
      </c>
      <c r="AF82" s="120">
        <v>259882</v>
      </c>
      <c r="AG82" s="120">
        <v>106010</v>
      </c>
      <c r="AH82" s="120">
        <v>142493</v>
      </c>
      <c r="AI82" s="120">
        <v>142288</v>
      </c>
      <c r="AJ82" s="120">
        <v>144886</v>
      </c>
      <c r="AK82" s="120">
        <v>143140</v>
      </c>
      <c r="AL82" s="120">
        <v>145235</v>
      </c>
      <c r="AM82" s="120">
        <v>138445</v>
      </c>
      <c r="AN82" s="120">
        <v>143322</v>
      </c>
      <c r="AO82" s="120">
        <v>145850</v>
      </c>
      <c r="AP82" s="296"/>
      <c r="AQ82" s="296"/>
    </row>
    <row r="83" spans="1:43" s="1" customFormat="1" x14ac:dyDescent="0.25">
      <c r="A83" s="248" t="s">
        <v>86</v>
      </c>
      <c r="B83" s="122">
        <v>0</v>
      </c>
      <c r="C83" s="122">
        <v>0</v>
      </c>
      <c r="D83" s="122">
        <v>0</v>
      </c>
      <c r="E83" s="122"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122">
        <v>0</v>
      </c>
      <c r="O83" s="122">
        <v>0</v>
      </c>
      <c r="P83" s="122">
        <v>0</v>
      </c>
      <c r="Q83" s="122">
        <v>0</v>
      </c>
      <c r="R83" s="122">
        <v>0</v>
      </c>
      <c r="S83" s="122">
        <v>0</v>
      </c>
      <c r="T83" s="122">
        <v>41</v>
      </c>
      <c r="U83" s="122">
        <v>19177</v>
      </c>
      <c r="V83" s="122">
        <v>18302</v>
      </c>
      <c r="W83" s="122">
        <v>17086</v>
      </c>
      <c r="X83" s="122">
        <v>16397</v>
      </c>
      <c r="Y83" s="122">
        <v>14052</v>
      </c>
      <c r="Z83" s="122">
        <v>13171</v>
      </c>
      <c r="AA83" s="122">
        <v>14251</v>
      </c>
      <c r="AB83" s="122">
        <v>12898</v>
      </c>
      <c r="AC83" s="122">
        <v>88847</v>
      </c>
      <c r="AD83" s="122">
        <v>86346</v>
      </c>
      <c r="AE83" s="122">
        <v>90921</v>
      </c>
      <c r="AF83" s="122">
        <v>87823</v>
      </c>
      <c r="AG83" s="122">
        <v>86346</v>
      </c>
      <c r="AH83" s="122">
        <v>0</v>
      </c>
      <c r="AI83" s="122">
        <v>0</v>
      </c>
      <c r="AJ83" s="122">
        <v>51567</v>
      </c>
      <c r="AK83" s="122">
        <v>0</v>
      </c>
      <c r="AL83" s="122">
        <v>0</v>
      </c>
      <c r="AM83" s="122">
        <v>0</v>
      </c>
      <c r="AN83" s="122">
        <v>0</v>
      </c>
      <c r="AO83" s="122">
        <v>0</v>
      </c>
      <c r="AP83" s="296"/>
      <c r="AQ83" s="296"/>
    </row>
    <row r="84" spans="1:43" s="1" customFormat="1" x14ac:dyDescent="0.25">
      <c r="A84" s="249" t="s">
        <v>54</v>
      </c>
      <c r="B84" s="120">
        <v>0</v>
      </c>
      <c r="C84" s="120">
        <v>0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296"/>
      <c r="AQ84" s="296"/>
    </row>
    <row r="85" spans="1:43" s="1" customFormat="1" x14ac:dyDescent="0.25">
      <c r="A85" s="248" t="s">
        <v>81</v>
      </c>
      <c r="B85" s="122">
        <v>0</v>
      </c>
      <c r="C85" s="122">
        <v>0</v>
      </c>
      <c r="D85" s="122">
        <v>0</v>
      </c>
      <c r="E85" s="122">
        <v>0</v>
      </c>
      <c r="F85" s="122">
        <v>0</v>
      </c>
      <c r="G85" s="122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22">
        <v>0</v>
      </c>
      <c r="O85" s="122">
        <v>0</v>
      </c>
      <c r="P85" s="122">
        <v>0</v>
      </c>
      <c r="Q85" s="122">
        <v>0</v>
      </c>
      <c r="R85" s="122">
        <v>0</v>
      </c>
      <c r="S85" s="122">
        <v>0</v>
      </c>
      <c r="T85" s="122">
        <v>0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0</v>
      </c>
      <c r="AC85" s="122">
        <v>0</v>
      </c>
      <c r="AD85" s="122">
        <v>0</v>
      </c>
      <c r="AE85" s="122">
        <v>0</v>
      </c>
      <c r="AF85" s="122">
        <v>0</v>
      </c>
      <c r="AG85" s="122">
        <v>0</v>
      </c>
      <c r="AH85" s="122">
        <v>0</v>
      </c>
      <c r="AI85" s="122">
        <v>0</v>
      </c>
      <c r="AJ85" s="122">
        <v>0</v>
      </c>
      <c r="AK85" s="122">
        <v>0</v>
      </c>
      <c r="AL85" s="122">
        <v>0</v>
      </c>
      <c r="AM85" s="122">
        <v>0</v>
      </c>
      <c r="AN85" s="122">
        <v>6101</v>
      </c>
      <c r="AO85" s="122">
        <v>11935</v>
      </c>
      <c r="AP85" s="296"/>
      <c r="AQ85" s="296"/>
    </row>
    <row r="86" spans="1:43" s="1" customFormat="1" x14ac:dyDescent="0.25">
      <c r="A86" s="249" t="s">
        <v>421</v>
      </c>
      <c r="B86" s="120">
        <v>0</v>
      </c>
      <c r="C86" s="120">
        <v>0</v>
      </c>
      <c r="D86" s="120">
        <v>0</v>
      </c>
      <c r="E86" s="120">
        <v>0</v>
      </c>
      <c r="F86" s="120">
        <v>3168</v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296"/>
      <c r="AQ86" s="296"/>
    </row>
    <row r="87" spans="1:43" s="1" customFormat="1" x14ac:dyDescent="0.25">
      <c r="A87" s="248" t="s">
        <v>82</v>
      </c>
      <c r="B87" s="122">
        <v>94040</v>
      </c>
      <c r="C87" s="122">
        <f>'[1]Quadro 1'!$B$105</f>
        <v>88511</v>
      </c>
      <c r="D87" s="122">
        <v>92575</v>
      </c>
      <c r="E87" s="122">
        <v>92182</v>
      </c>
      <c r="F87" s="122">
        <v>91345</v>
      </c>
      <c r="G87" s="122">
        <v>88121</v>
      </c>
      <c r="H87" s="122">
        <v>87186</v>
      </c>
      <c r="I87" s="122">
        <v>86611</v>
      </c>
      <c r="J87" s="122">
        <v>85436</v>
      </c>
      <c r="K87" s="122">
        <v>86083</v>
      </c>
      <c r="L87" s="122">
        <v>84878</v>
      </c>
      <c r="M87" s="122">
        <v>84066</v>
      </c>
      <c r="N87" s="122">
        <v>82890</v>
      </c>
      <c r="O87" s="122">
        <v>81735</v>
      </c>
      <c r="P87" s="122">
        <v>80902</v>
      </c>
      <c r="Q87" s="122">
        <v>77838</v>
      </c>
      <c r="R87" s="122">
        <v>80808</v>
      </c>
      <c r="S87" s="122">
        <v>71627</v>
      </c>
      <c r="T87" s="122">
        <v>70673</v>
      </c>
      <c r="U87" s="122">
        <v>70483</v>
      </c>
      <c r="V87" s="122">
        <v>69684</v>
      </c>
      <c r="W87" s="122">
        <v>68250</v>
      </c>
      <c r="X87" s="122">
        <v>66549</v>
      </c>
      <c r="Y87" s="122">
        <v>71745</v>
      </c>
      <c r="Z87" s="122">
        <v>59292</v>
      </c>
      <c r="AA87" s="122">
        <v>41108</v>
      </c>
      <c r="AB87" s="122">
        <v>40145</v>
      </c>
      <c r="AC87" s="122">
        <v>39241</v>
      </c>
      <c r="AD87" s="122">
        <v>38158</v>
      </c>
      <c r="AE87" s="122">
        <v>29994</v>
      </c>
      <c r="AF87" s="122">
        <v>29428</v>
      </c>
      <c r="AG87" s="122">
        <v>38158</v>
      </c>
      <c r="AH87" s="122">
        <v>50708</v>
      </c>
      <c r="AI87" s="122">
        <v>90258</v>
      </c>
      <c r="AJ87" s="122">
        <v>35919</v>
      </c>
      <c r="AK87" s="122">
        <v>86059</v>
      </c>
      <c r="AL87" s="122">
        <v>84415</v>
      </c>
      <c r="AM87" s="122">
        <v>76738</v>
      </c>
      <c r="AN87" s="122">
        <v>73829</v>
      </c>
      <c r="AO87" s="122">
        <v>80352</v>
      </c>
      <c r="AP87" s="296"/>
      <c r="AQ87" s="296"/>
    </row>
    <row r="88" spans="1:43" s="1" customFormat="1" x14ac:dyDescent="0.25">
      <c r="A88" s="249"/>
      <c r="B88" s="249"/>
      <c r="C88" s="249"/>
      <c r="D88" s="249"/>
      <c r="E88" s="249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296"/>
      <c r="AQ88" s="296"/>
    </row>
    <row r="89" spans="1:43" s="1" customFormat="1" ht="15.75" x14ac:dyDescent="0.25">
      <c r="A89" s="209" t="s">
        <v>378</v>
      </c>
      <c r="B89" s="116">
        <f t="shared" ref="B89:H89" si="8">SUM(B74:B88)</f>
        <v>3927082</v>
      </c>
      <c r="C89" s="116">
        <f t="shared" si="8"/>
        <v>3415348</v>
      </c>
      <c r="D89" s="116">
        <f t="shared" si="8"/>
        <v>3670294</v>
      </c>
      <c r="E89" s="116">
        <f t="shared" si="8"/>
        <v>3688923</v>
      </c>
      <c r="F89" s="116">
        <f t="shared" si="8"/>
        <v>3666806</v>
      </c>
      <c r="G89" s="116">
        <f t="shared" si="8"/>
        <v>3681973</v>
      </c>
      <c r="H89" s="116">
        <f t="shared" si="8"/>
        <v>3750224</v>
      </c>
      <c r="I89" s="116">
        <f t="shared" ref="I89:AO89" si="9">SUM(I74:I88)</f>
        <v>3571810</v>
      </c>
      <c r="J89" s="116">
        <f t="shared" si="9"/>
        <v>3610746</v>
      </c>
      <c r="K89" s="116">
        <f t="shared" si="9"/>
        <v>3584228</v>
      </c>
      <c r="L89" s="116">
        <f t="shared" si="9"/>
        <v>3190126</v>
      </c>
      <c r="M89" s="116">
        <f t="shared" si="9"/>
        <v>3401491</v>
      </c>
      <c r="N89" s="116">
        <f t="shared" si="9"/>
        <v>3309780</v>
      </c>
      <c r="O89" s="116">
        <f t="shared" si="9"/>
        <v>3444790</v>
      </c>
      <c r="P89" s="116">
        <f t="shared" si="9"/>
        <v>3570191</v>
      </c>
      <c r="Q89" s="116">
        <f t="shared" si="9"/>
        <v>3701480</v>
      </c>
      <c r="R89" s="116">
        <f t="shared" si="9"/>
        <v>3876130</v>
      </c>
      <c r="S89" s="116">
        <f t="shared" si="9"/>
        <v>4038759</v>
      </c>
      <c r="T89" s="116">
        <f t="shared" si="9"/>
        <v>3945191</v>
      </c>
      <c r="U89" s="116">
        <f t="shared" si="9"/>
        <v>4051415</v>
      </c>
      <c r="V89" s="116">
        <f t="shared" si="9"/>
        <v>4212832</v>
      </c>
      <c r="W89" s="116">
        <f t="shared" si="9"/>
        <v>4114032</v>
      </c>
      <c r="X89" s="116">
        <f t="shared" si="9"/>
        <v>3751615</v>
      </c>
      <c r="Y89" s="116">
        <f t="shared" si="9"/>
        <v>3696723</v>
      </c>
      <c r="Z89" s="116">
        <f t="shared" si="9"/>
        <v>3612096</v>
      </c>
      <c r="AA89" s="116">
        <f t="shared" si="9"/>
        <v>3343554.5</v>
      </c>
      <c r="AB89" s="116">
        <f t="shared" si="9"/>
        <v>3233754</v>
      </c>
      <c r="AC89" s="116">
        <f t="shared" si="9"/>
        <v>3157318</v>
      </c>
      <c r="AD89" s="116">
        <f t="shared" si="9"/>
        <v>3204309</v>
      </c>
      <c r="AE89" s="116">
        <f t="shared" si="9"/>
        <v>3248480</v>
      </c>
      <c r="AF89" s="116">
        <f t="shared" si="9"/>
        <v>3306585</v>
      </c>
      <c r="AG89" s="116">
        <f t="shared" si="9"/>
        <v>3204309</v>
      </c>
      <c r="AH89" s="116">
        <f t="shared" si="9"/>
        <v>3189962</v>
      </c>
      <c r="AI89" s="116">
        <f t="shared" si="9"/>
        <v>3198901</v>
      </c>
      <c r="AJ89" s="116">
        <f t="shared" si="9"/>
        <v>3060257</v>
      </c>
      <c r="AK89" s="116">
        <f t="shared" si="9"/>
        <v>3183370</v>
      </c>
      <c r="AL89" s="116">
        <f t="shared" si="9"/>
        <v>2804562</v>
      </c>
      <c r="AM89" s="116">
        <f t="shared" si="9"/>
        <v>2424098</v>
      </c>
      <c r="AN89" s="116">
        <f t="shared" si="9"/>
        <v>2423678</v>
      </c>
      <c r="AO89" s="116">
        <f t="shared" si="9"/>
        <v>2414181</v>
      </c>
      <c r="AP89" s="296"/>
      <c r="AQ89" s="296"/>
    </row>
    <row r="90" spans="1:43" s="1" customFormat="1" ht="15.75" x14ac:dyDescent="0.25">
      <c r="A90" s="209" t="s">
        <v>377</v>
      </c>
      <c r="B90" s="209"/>
      <c r="C90" s="209"/>
      <c r="D90" s="209"/>
      <c r="E90" s="209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296"/>
      <c r="AQ90" s="296"/>
    </row>
    <row r="91" spans="1:43" s="1" customFormat="1" x14ac:dyDescent="0.25">
      <c r="A91" s="39"/>
      <c r="B91" s="39"/>
      <c r="C91" s="39"/>
      <c r="D91" s="39"/>
      <c r="E91" s="3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296"/>
      <c r="AQ91" s="296"/>
    </row>
    <row r="92" spans="1:43" s="1" customFormat="1" x14ac:dyDescent="0.25">
      <c r="A92" s="247" t="s">
        <v>87</v>
      </c>
      <c r="B92" s="122">
        <f>'[2]BANCO DE DADOS'!$B$638</f>
        <v>3402385</v>
      </c>
      <c r="C92" s="122">
        <f>'[1]Quadro 1'!$B$111</f>
        <v>3402385</v>
      </c>
      <c r="D92" s="122">
        <v>3402385</v>
      </c>
      <c r="E92" s="122">
        <v>3402385</v>
      </c>
      <c r="F92" s="122">
        <v>3402385</v>
      </c>
      <c r="G92" s="122">
        <v>3402385</v>
      </c>
      <c r="H92" s="122">
        <v>3402385</v>
      </c>
      <c r="I92" s="122">
        <v>3402385</v>
      </c>
      <c r="J92" s="122">
        <v>3402385</v>
      </c>
      <c r="K92" s="122">
        <v>3402385</v>
      </c>
      <c r="L92" s="122">
        <v>3402385</v>
      </c>
      <c r="M92" s="122">
        <v>3402385</v>
      </c>
      <c r="N92" s="122">
        <v>3402385</v>
      </c>
      <c r="O92" s="122">
        <v>3402385</v>
      </c>
      <c r="P92" s="122">
        <v>3402385</v>
      </c>
      <c r="Q92" s="122">
        <v>3402385</v>
      </c>
      <c r="R92" s="122">
        <v>3402385</v>
      </c>
      <c r="S92" s="122">
        <v>3402385</v>
      </c>
      <c r="T92" s="122">
        <v>2773985</v>
      </c>
      <c r="U92" s="122">
        <v>2773985</v>
      </c>
      <c r="V92" s="122">
        <v>2773985</v>
      </c>
      <c r="W92" s="122">
        <v>2773985</v>
      </c>
      <c r="X92" s="122">
        <v>2773985</v>
      </c>
      <c r="Y92" s="122">
        <v>2773985</v>
      </c>
      <c r="Z92" s="122">
        <v>2773985</v>
      </c>
      <c r="AA92" s="122">
        <v>2773985</v>
      </c>
      <c r="AB92" s="122">
        <v>2773985</v>
      </c>
      <c r="AC92" s="122">
        <v>2773986</v>
      </c>
      <c r="AD92" s="122">
        <v>2773985</v>
      </c>
      <c r="AE92" s="122">
        <v>2773985</v>
      </c>
      <c r="AF92" s="122">
        <v>2773985</v>
      </c>
      <c r="AG92" s="122">
        <v>2773985</v>
      </c>
      <c r="AH92" s="122">
        <v>2773985</v>
      </c>
      <c r="AI92" s="122">
        <v>2773984</v>
      </c>
      <c r="AJ92" s="122">
        <v>2636499</v>
      </c>
      <c r="AK92" s="122">
        <v>2636499</v>
      </c>
      <c r="AL92" s="122">
        <v>2636499</v>
      </c>
      <c r="AM92" s="122">
        <v>2636460</v>
      </c>
      <c r="AN92" s="122">
        <v>2636460</v>
      </c>
      <c r="AO92" s="122">
        <v>2636460</v>
      </c>
      <c r="AP92" s="296"/>
      <c r="AQ92" s="296"/>
    </row>
    <row r="93" spans="1:43" s="1" customFormat="1" x14ac:dyDescent="0.25">
      <c r="A93" s="246" t="s">
        <v>88</v>
      </c>
      <c r="B93" s="120">
        <f>'[2]BANCO DE DADOS'!$B$639</f>
        <v>-8576</v>
      </c>
      <c r="C93" s="120">
        <f>'[1]Quadro 1'!$B$112</f>
        <v>-8576</v>
      </c>
      <c r="D93" s="120">
        <v>-8576</v>
      </c>
      <c r="E93" s="120">
        <v>-8576</v>
      </c>
      <c r="F93" s="120">
        <v>-8576</v>
      </c>
      <c r="G93" s="120">
        <v>-8576</v>
      </c>
      <c r="H93" s="120">
        <v>-8576</v>
      </c>
      <c r="I93" s="120">
        <v>-8576</v>
      </c>
      <c r="J93" s="120">
        <v>-8576</v>
      </c>
      <c r="K93" s="120">
        <v>-8576</v>
      </c>
      <c r="L93" s="120">
        <v>-8576</v>
      </c>
      <c r="M93" s="120">
        <v>-8576</v>
      </c>
      <c r="N93" s="120">
        <v>-8576</v>
      </c>
      <c r="O93" s="120">
        <v>-8576</v>
      </c>
      <c r="P93" s="120">
        <v>-8576</v>
      </c>
      <c r="Q93" s="120">
        <v>-8576</v>
      </c>
      <c r="R93" s="120">
        <v>-8576</v>
      </c>
      <c r="S93" s="120">
        <v>-8576</v>
      </c>
      <c r="T93" s="120">
        <v>-8576</v>
      </c>
      <c r="U93" s="120">
        <v>-8576</v>
      </c>
      <c r="V93" s="120">
        <v>-8576</v>
      </c>
      <c r="W93" s="120">
        <v>-8576</v>
      </c>
      <c r="X93" s="120">
        <v>-8576</v>
      </c>
      <c r="Y93" s="120">
        <v>-8576</v>
      </c>
      <c r="Z93" s="120">
        <v>-8576</v>
      </c>
      <c r="AA93" s="120">
        <v>-8576</v>
      </c>
      <c r="AB93" s="120">
        <v>-8576</v>
      </c>
      <c r="AC93" s="120">
        <v>-8576</v>
      </c>
      <c r="AD93" s="120">
        <v>-8576</v>
      </c>
      <c r="AE93" s="120">
        <v>-8576</v>
      </c>
      <c r="AF93" s="120">
        <v>-8576</v>
      </c>
      <c r="AG93" s="120">
        <v>-8576</v>
      </c>
      <c r="AH93" s="120">
        <v>-8576</v>
      </c>
      <c r="AI93" s="120">
        <v>-8576</v>
      </c>
      <c r="AJ93" s="120">
        <v>-9190</v>
      </c>
      <c r="AK93" s="120">
        <v>-9190</v>
      </c>
      <c r="AL93" s="120">
        <v>-9190</v>
      </c>
      <c r="AM93" s="120">
        <v>-9190</v>
      </c>
      <c r="AN93" s="120">
        <v>-9190</v>
      </c>
      <c r="AO93" s="120">
        <v>-9190</v>
      </c>
      <c r="AP93" s="296"/>
      <c r="AQ93" s="296"/>
    </row>
    <row r="94" spans="1:43" s="1" customFormat="1" x14ac:dyDescent="0.25">
      <c r="A94" s="247" t="s">
        <v>89</v>
      </c>
      <c r="B94" s="122">
        <v>0</v>
      </c>
      <c r="C94" s="122">
        <v>0</v>
      </c>
      <c r="D94" s="122">
        <v>0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122">
        <v>0</v>
      </c>
      <c r="O94" s="122">
        <v>0</v>
      </c>
      <c r="P94" s="122">
        <v>0</v>
      </c>
      <c r="Q94" s="122">
        <v>0</v>
      </c>
      <c r="R94" s="122">
        <v>0</v>
      </c>
      <c r="S94" s="122">
        <v>0</v>
      </c>
      <c r="T94" s="122">
        <v>0</v>
      </c>
      <c r="U94" s="122">
        <v>0</v>
      </c>
      <c r="V94" s="122">
        <v>0</v>
      </c>
      <c r="W94" s="122">
        <v>0</v>
      </c>
      <c r="X94" s="122">
        <v>0</v>
      </c>
      <c r="Y94" s="122">
        <v>0</v>
      </c>
      <c r="Z94" s="122">
        <v>0</v>
      </c>
      <c r="AA94" s="122">
        <v>0</v>
      </c>
      <c r="AB94" s="122">
        <v>0</v>
      </c>
      <c r="AC94" s="122">
        <v>0</v>
      </c>
      <c r="AD94" s="122">
        <v>0</v>
      </c>
      <c r="AE94" s="122">
        <v>0</v>
      </c>
      <c r="AF94" s="122">
        <v>0</v>
      </c>
      <c r="AG94" s="122">
        <v>0</v>
      </c>
      <c r="AH94" s="122">
        <v>0</v>
      </c>
      <c r="AI94" s="122">
        <v>0</v>
      </c>
      <c r="AJ94" s="122">
        <v>137485</v>
      </c>
      <c r="AK94" s="122">
        <v>3782</v>
      </c>
      <c r="AL94" s="122">
        <v>3782</v>
      </c>
      <c r="AM94" s="122">
        <v>3782</v>
      </c>
      <c r="AN94" s="122">
        <v>3782</v>
      </c>
      <c r="AO94" s="122">
        <v>3782</v>
      </c>
      <c r="AP94" s="296"/>
      <c r="AQ94" s="296"/>
    </row>
    <row r="95" spans="1:43" s="1" customFormat="1" x14ac:dyDescent="0.25">
      <c r="A95" s="246" t="s">
        <v>90</v>
      </c>
      <c r="B95" s="120">
        <f>'[2]BANCO DE DADOS'!$B$640</f>
        <v>3147591</v>
      </c>
      <c r="C95" s="120">
        <f>'[1]Quadro 1'!$B$113</f>
        <v>3378939</v>
      </c>
      <c r="D95" s="120">
        <v>3378939</v>
      </c>
      <c r="E95" s="120">
        <v>3378939</v>
      </c>
      <c r="F95" s="120">
        <v>3378939</v>
      </c>
      <c r="G95" s="120">
        <v>2834829</v>
      </c>
      <c r="H95" s="120">
        <v>2834829</v>
      </c>
      <c r="I95" s="120">
        <v>2834829</v>
      </c>
      <c r="J95" s="120">
        <v>2834829</v>
      </c>
      <c r="K95" s="120">
        <v>2535704</v>
      </c>
      <c r="L95" s="120">
        <v>2535704</v>
      </c>
      <c r="M95" s="120">
        <v>2815704</v>
      </c>
      <c r="N95" s="120">
        <v>2815704</v>
      </c>
      <c r="O95" s="120">
        <v>2528663</v>
      </c>
      <c r="P95" s="120">
        <v>2528663</v>
      </c>
      <c r="Q95" s="120">
        <v>2528663</v>
      </c>
      <c r="R95" s="120">
        <v>2528663</v>
      </c>
      <c r="S95" s="120">
        <v>2210880</v>
      </c>
      <c r="T95" s="120">
        <v>2710880</v>
      </c>
      <c r="U95" s="120">
        <v>2710880</v>
      </c>
      <c r="V95" s="120">
        <v>2710880</v>
      </c>
      <c r="W95" s="120">
        <v>2726965</v>
      </c>
      <c r="X95" s="120">
        <v>2726965</v>
      </c>
      <c r="Y95" s="120">
        <v>2726965</v>
      </c>
      <c r="Z95" s="120">
        <v>2726965</v>
      </c>
      <c r="AA95" s="120">
        <v>2508330</v>
      </c>
      <c r="AB95" s="120">
        <v>2508330</v>
      </c>
      <c r="AC95" s="120">
        <v>2508330</v>
      </c>
      <c r="AD95" s="120">
        <v>2508330</v>
      </c>
      <c r="AE95" s="120">
        <v>2198133</v>
      </c>
      <c r="AF95" s="120">
        <v>2198133</v>
      </c>
      <c r="AG95" s="120">
        <v>2508330</v>
      </c>
      <c r="AH95" s="120">
        <v>2198133</v>
      </c>
      <c r="AI95" s="120">
        <v>1870586</v>
      </c>
      <c r="AJ95" s="120">
        <v>1870586</v>
      </c>
      <c r="AK95" s="120">
        <v>1870586</v>
      </c>
      <c r="AL95" s="120">
        <v>1870586</v>
      </c>
      <c r="AM95" s="120">
        <v>1553276</v>
      </c>
      <c r="AN95" s="120">
        <v>1553276</v>
      </c>
      <c r="AO95" s="120">
        <v>1553276</v>
      </c>
      <c r="AP95" s="296"/>
      <c r="AQ95" s="296"/>
    </row>
    <row r="96" spans="1:43" s="1" customFormat="1" x14ac:dyDescent="0.25">
      <c r="A96" s="247" t="s">
        <v>91</v>
      </c>
      <c r="B96" s="122">
        <f>'[2]BANCO DE DADOS'!$B$641</f>
        <v>-84788</v>
      </c>
      <c r="C96" s="122">
        <f>'[1]Quadro 1'!$B$114</f>
        <v>-22462</v>
      </c>
      <c r="D96" s="122">
        <v>-22412</v>
      </c>
      <c r="E96" s="122">
        <v>-29118</v>
      </c>
      <c r="F96" s="122">
        <v>-29035</v>
      </c>
      <c r="G96" s="122">
        <v>7321</v>
      </c>
      <c r="H96" s="122">
        <v>7402</v>
      </c>
      <c r="I96" s="122">
        <v>-2094</v>
      </c>
      <c r="J96" s="122">
        <v>-2005</v>
      </c>
      <c r="K96" s="122">
        <v>38399</v>
      </c>
      <c r="L96" s="122">
        <v>38751</v>
      </c>
      <c r="M96" s="122">
        <v>34458</v>
      </c>
      <c r="N96" s="122">
        <v>34830</v>
      </c>
      <c r="O96" s="122">
        <v>13783</v>
      </c>
      <c r="P96" s="122">
        <v>18152</v>
      </c>
      <c r="Q96" s="122">
        <v>12754</v>
      </c>
      <c r="R96" s="122">
        <v>17215</v>
      </c>
      <c r="S96" s="122">
        <v>39172</v>
      </c>
      <c r="T96" s="122">
        <v>32464</v>
      </c>
      <c r="U96" s="122">
        <v>37351</v>
      </c>
      <c r="V96" s="122">
        <v>42161</v>
      </c>
      <c r="W96" s="122">
        <v>30723</v>
      </c>
      <c r="X96" s="122">
        <v>35566</v>
      </c>
      <c r="Y96" s="122">
        <v>39677</v>
      </c>
      <c r="Z96" s="122">
        <v>44190</v>
      </c>
      <c r="AA96" s="122">
        <v>51012</v>
      </c>
      <c r="AB96" s="122">
        <v>55477</v>
      </c>
      <c r="AC96" s="122">
        <v>59286</v>
      </c>
      <c r="AD96" s="122">
        <v>63620</v>
      </c>
      <c r="AE96" s="122">
        <v>-43025</v>
      </c>
      <c r="AF96" s="122">
        <v>-27975</v>
      </c>
      <c r="AG96" s="122">
        <v>63620</v>
      </c>
      <c r="AH96" s="122">
        <v>0</v>
      </c>
      <c r="AI96" s="122">
        <v>29412</v>
      </c>
      <c r="AJ96" s="122">
        <v>30002</v>
      </c>
      <c r="AK96" s="122">
        <v>0</v>
      </c>
      <c r="AL96" s="122">
        <v>0</v>
      </c>
      <c r="AM96" s="122">
        <v>0</v>
      </c>
      <c r="AN96" s="122">
        <v>0</v>
      </c>
      <c r="AO96" s="122">
        <v>0</v>
      </c>
      <c r="AP96" s="296"/>
      <c r="AQ96" s="296"/>
    </row>
    <row r="97" spans="1:43" s="1" customFormat="1" x14ac:dyDescent="0.25">
      <c r="A97" s="246" t="s">
        <v>92</v>
      </c>
      <c r="B97" s="120">
        <v>0</v>
      </c>
      <c r="C97" s="120">
        <f>'[1]Quadro 1'!$B$115</f>
        <v>395402</v>
      </c>
      <c r="D97" s="120">
        <v>217933</v>
      </c>
      <c r="E97" s="120">
        <v>115428</v>
      </c>
      <c r="F97" s="120">
        <v>0</v>
      </c>
      <c r="G97" s="120">
        <v>373261</v>
      </c>
      <c r="H97" s="120">
        <v>232017</v>
      </c>
      <c r="I97" s="120">
        <v>133835</v>
      </c>
      <c r="J97" s="120">
        <v>0</v>
      </c>
      <c r="K97" s="120">
        <v>213262</v>
      </c>
      <c r="L97" s="120">
        <v>141380</v>
      </c>
      <c r="M97" s="120">
        <v>82490</v>
      </c>
      <c r="N97" s="120">
        <v>0</v>
      </c>
      <c r="O97" s="120">
        <v>302136</v>
      </c>
      <c r="P97" s="120">
        <v>191158</v>
      </c>
      <c r="Q97" s="120">
        <v>117349</v>
      </c>
      <c r="R97" s="120">
        <v>0</v>
      </c>
      <c r="S97" s="120">
        <v>221571</v>
      </c>
      <c r="T97" s="120">
        <v>141334</v>
      </c>
      <c r="U97" s="120">
        <v>65954</v>
      </c>
      <c r="V97" s="120">
        <v>0</v>
      </c>
      <c r="W97" s="120">
        <v>23786</v>
      </c>
      <c r="X97" s="120">
        <v>16431</v>
      </c>
      <c r="Y97" s="120">
        <v>12783</v>
      </c>
      <c r="Z97" s="120">
        <v>0</v>
      </c>
      <c r="AA97" s="120">
        <v>198611</v>
      </c>
      <c r="AB97" s="120">
        <v>132347</v>
      </c>
      <c r="AC97" s="120">
        <v>82836</v>
      </c>
      <c r="AD97" s="120">
        <v>0</v>
      </c>
      <c r="AE97" s="120">
        <v>216292</v>
      </c>
      <c r="AF97" s="120">
        <v>118153</v>
      </c>
      <c r="AG97" s="120">
        <v>0</v>
      </c>
      <c r="AH97" s="120">
        <v>0</v>
      </c>
      <c r="AI97" s="120">
        <v>247837</v>
      </c>
      <c r="AJ97" s="120">
        <v>157800</v>
      </c>
      <c r="AK97" s="120">
        <v>86627</v>
      </c>
      <c r="AL97" s="120">
        <v>0</v>
      </c>
      <c r="AM97" s="120">
        <v>241535</v>
      </c>
      <c r="AN97" s="120">
        <v>163956</v>
      </c>
      <c r="AO97" s="120">
        <v>90827</v>
      </c>
      <c r="AP97" s="296"/>
      <c r="AQ97" s="296"/>
    </row>
    <row r="98" spans="1:43" s="1" customFormat="1" x14ac:dyDescent="0.25">
      <c r="A98" s="247" t="s">
        <v>93</v>
      </c>
      <c r="B98" s="122">
        <v>0</v>
      </c>
      <c r="C98" s="122">
        <v>0</v>
      </c>
      <c r="D98" s="122">
        <v>0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22">
        <v>0</v>
      </c>
      <c r="N98" s="122">
        <v>0</v>
      </c>
      <c r="O98" s="122">
        <v>0</v>
      </c>
      <c r="P98" s="122">
        <v>0</v>
      </c>
      <c r="Q98" s="122">
        <v>0</v>
      </c>
      <c r="R98" s="122">
        <v>0</v>
      </c>
      <c r="S98" s="122">
        <v>0</v>
      </c>
      <c r="T98" s="122">
        <v>128400</v>
      </c>
      <c r="U98" s="122">
        <v>128400</v>
      </c>
      <c r="V98" s="122">
        <v>128400</v>
      </c>
      <c r="W98" s="122">
        <v>118600</v>
      </c>
      <c r="X98" s="122">
        <v>55700</v>
      </c>
      <c r="Y98" s="122">
        <v>0</v>
      </c>
      <c r="Z98" s="122">
        <v>0</v>
      </c>
      <c r="AA98" s="122">
        <v>0</v>
      </c>
      <c r="AB98" s="122">
        <v>0</v>
      </c>
      <c r="AC98" s="122">
        <v>0</v>
      </c>
      <c r="AD98" s="122">
        <v>0</v>
      </c>
      <c r="AE98" s="122">
        <v>0</v>
      </c>
      <c r="AF98" s="122">
        <v>0</v>
      </c>
      <c r="AG98" s="122">
        <v>0</v>
      </c>
      <c r="AH98" s="122">
        <v>0</v>
      </c>
      <c r="AI98" s="122">
        <v>0</v>
      </c>
      <c r="AJ98" s="122">
        <v>0</v>
      </c>
      <c r="AK98" s="122">
        <v>0</v>
      </c>
      <c r="AL98" s="122">
        <v>0</v>
      </c>
      <c r="AM98" s="122">
        <v>0</v>
      </c>
      <c r="AN98" s="122">
        <v>0</v>
      </c>
      <c r="AO98" s="122">
        <v>0</v>
      </c>
      <c r="AP98" s="296"/>
      <c r="AQ98" s="296"/>
    </row>
    <row r="99" spans="1:43" s="1" customFormat="1" x14ac:dyDescent="0.25">
      <c r="A99" s="246"/>
      <c r="B99" s="246"/>
      <c r="C99" s="246"/>
      <c r="D99" s="246"/>
      <c r="E99" s="246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296"/>
      <c r="AQ99" s="296"/>
    </row>
    <row r="100" spans="1:43" s="1" customFormat="1" ht="15.75" x14ac:dyDescent="0.25">
      <c r="A100" s="193" t="s">
        <v>379</v>
      </c>
      <c r="B100" s="116">
        <f t="shared" ref="B100" si="10">SUM(B92:B99)</f>
        <v>6456612</v>
      </c>
      <c r="C100" s="116">
        <f t="shared" ref="C100:H100" si="11">SUM(C92:C99)</f>
        <v>7145688</v>
      </c>
      <c r="D100" s="116">
        <f t="shared" si="11"/>
        <v>6968269</v>
      </c>
      <c r="E100" s="116">
        <f t="shared" si="11"/>
        <v>6859058</v>
      </c>
      <c r="F100" s="116">
        <f t="shared" si="11"/>
        <v>6743713</v>
      </c>
      <c r="G100" s="116">
        <f t="shared" si="11"/>
        <v>6609220</v>
      </c>
      <c r="H100" s="116">
        <f t="shared" si="11"/>
        <v>6468057</v>
      </c>
      <c r="I100" s="116">
        <f t="shared" ref="I100:AO100" si="12">SUM(I92:I99)</f>
        <v>6360379</v>
      </c>
      <c r="J100" s="116">
        <f t="shared" si="12"/>
        <v>6226633</v>
      </c>
      <c r="K100" s="116">
        <f t="shared" si="12"/>
        <v>6181174</v>
      </c>
      <c r="L100" s="116">
        <f t="shared" si="12"/>
        <v>6109644</v>
      </c>
      <c r="M100" s="116">
        <f t="shared" si="12"/>
        <v>6326461</v>
      </c>
      <c r="N100" s="116">
        <f t="shared" si="12"/>
        <v>6244343</v>
      </c>
      <c r="O100" s="116">
        <f t="shared" si="12"/>
        <v>6238391</v>
      </c>
      <c r="P100" s="116">
        <f t="shared" si="12"/>
        <v>6131782</v>
      </c>
      <c r="Q100" s="116">
        <f t="shared" si="12"/>
        <v>6052575</v>
      </c>
      <c r="R100" s="116">
        <f t="shared" si="12"/>
        <v>5939687</v>
      </c>
      <c r="S100" s="116">
        <f t="shared" si="12"/>
        <v>5865432</v>
      </c>
      <c r="T100" s="116">
        <f t="shared" si="12"/>
        <v>5778487</v>
      </c>
      <c r="U100" s="116">
        <f t="shared" si="12"/>
        <v>5707994</v>
      </c>
      <c r="V100" s="116">
        <f t="shared" si="12"/>
        <v>5646850</v>
      </c>
      <c r="W100" s="116">
        <f t="shared" si="12"/>
        <v>5665483</v>
      </c>
      <c r="X100" s="116">
        <f t="shared" si="12"/>
        <v>5600071</v>
      </c>
      <c r="Y100" s="116">
        <f t="shared" si="12"/>
        <v>5544834</v>
      </c>
      <c r="Z100" s="116">
        <f t="shared" si="12"/>
        <v>5536564</v>
      </c>
      <c r="AA100" s="116">
        <f t="shared" si="12"/>
        <v>5523362</v>
      </c>
      <c r="AB100" s="116">
        <f t="shared" si="12"/>
        <v>5461563</v>
      </c>
      <c r="AC100" s="116">
        <f t="shared" si="12"/>
        <v>5415862</v>
      </c>
      <c r="AD100" s="116">
        <f t="shared" si="12"/>
        <v>5337359</v>
      </c>
      <c r="AE100" s="116">
        <f t="shared" si="12"/>
        <v>5136809</v>
      </c>
      <c r="AF100" s="116">
        <f t="shared" si="12"/>
        <v>5053720</v>
      </c>
      <c r="AG100" s="116">
        <f t="shared" si="12"/>
        <v>5337359</v>
      </c>
      <c r="AH100" s="116">
        <f t="shared" si="12"/>
        <v>4963542</v>
      </c>
      <c r="AI100" s="116">
        <f t="shared" si="12"/>
        <v>4913243</v>
      </c>
      <c r="AJ100" s="116">
        <f t="shared" si="12"/>
        <v>4823182</v>
      </c>
      <c r="AK100" s="116">
        <f t="shared" si="12"/>
        <v>4588304</v>
      </c>
      <c r="AL100" s="116">
        <f t="shared" si="12"/>
        <v>4501677</v>
      </c>
      <c r="AM100" s="116">
        <f t="shared" si="12"/>
        <v>4425863</v>
      </c>
      <c r="AN100" s="116">
        <f t="shared" si="12"/>
        <v>4348284</v>
      </c>
      <c r="AO100" s="116">
        <f t="shared" si="12"/>
        <v>4275155</v>
      </c>
      <c r="AP100" s="296"/>
      <c r="AQ100" s="296"/>
    </row>
    <row r="101" spans="1:43" s="1" customFormat="1" ht="15.75" x14ac:dyDescent="0.25">
      <c r="A101" s="193" t="s">
        <v>380</v>
      </c>
      <c r="B101" s="116">
        <f>B100+B89+B69</f>
        <v>11762554</v>
      </c>
      <c r="C101" s="116">
        <f>C100+C89+C69</f>
        <v>12028634</v>
      </c>
      <c r="D101" s="116">
        <f>D100+D89+D69</f>
        <v>11854115</v>
      </c>
      <c r="E101" s="116">
        <f>E69+E89+E100</f>
        <v>11694504</v>
      </c>
      <c r="F101" s="116">
        <f>F69+F89+F100</f>
        <v>11520769</v>
      </c>
      <c r="G101" s="116">
        <f>G69+G89+G100</f>
        <v>11448844</v>
      </c>
      <c r="H101" s="116">
        <f>H100+H89+H69</f>
        <v>11382091</v>
      </c>
      <c r="I101" s="116">
        <f t="shared" ref="I101:AO101" si="13">I100+I89+I69</f>
        <v>11230763</v>
      </c>
      <c r="J101" s="116">
        <f t="shared" si="13"/>
        <v>11165962</v>
      </c>
      <c r="K101" s="116">
        <f t="shared" si="13"/>
        <v>11084638</v>
      </c>
      <c r="L101" s="116">
        <f t="shared" si="13"/>
        <v>10701499</v>
      </c>
      <c r="M101" s="116">
        <f t="shared" si="13"/>
        <v>11015389</v>
      </c>
      <c r="N101" s="116">
        <f t="shared" si="13"/>
        <v>10801093</v>
      </c>
      <c r="O101" s="116">
        <f t="shared" si="13"/>
        <v>10969232</v>
      </c>
      <c r="P101" s="116">
        <f t="shared" si="13"/>
        <v>10916918</v>
      </c>
      <c r="Q101" s="116">
        <f t="shared" si="13"/>
        <v>10933028</v>
      </c>
      <c r="R101" s="116">
        <f t="shared" si="13"/>
        <v>10940114</v>
      </c>
      <c r="S101" s="116">
        <f t="shared" si="13"/>
        <v>10957142</v>
      </c>
      <c r="T101" s="116">
        <f t="shared" si="13"/>
        <v>10734068</v>
      </c>
      <c r="U101" s="116">
        <f t="shared" si="13"/>
        <v>10748700</v>
      </c>
      <c r="V101" s="116">
        <f t="shared" si="13"/>
        <v>10938168</v>
      </c>
      <c r="W101" s="116">
        <f t="shared" si="13"/>
        <v>10881371</v>
      </c>
      <c r="X101" s="116">
        <f t="shared" si="13"/>
        <v>10419795</v>
      </c>
      <c r="Y101" s="116">
        <f t="shared" si="13"/>
        <v>10243432</v>
      </c>
      <c r="Z101" s="116">
        <f t="shared" si="13"/>
        <v>10154641</v>
      </c>
      <c r="AA101" s="116">
        <f t="shared" si="13"/>
        <v>9800876.5</v>
      </c>
      <c r="AB101" s="116">
        <f t="shared" si="13"/>
        <v>9634103</v>
      </c>
      <c r="AC101" s="116">
        <f t="shared" si="13"/>
        <v>9514969</v>
      </c>
      <c r="AD101" s="116">
        <f t="shared" si="13"/>
        <v>9456301</v>
      </c>
      <c r="AE101" s="116">
        <f t="shared" si="13"/>
        <v>9370250</v>
      </c>
      <c r="AF101" s="116">
        <f t="shared" si="13"/>
        <v>9324778</v>
      </c>
      <c r="AG101" s="116">
        <f t="shared" si="13"/>
        <v>9456301</v>
      </c>
      <c r="AH101" s="116">
        <f t="shared" si="13"/>
        <v>8992688</v>
      </c>
      <c r="AI101" s="116">
        <f t="shared" si="13"/>
        <v>8976362</v>
      </c>
      <c r="AJ101" s="116">
        <f t="shared" si="13"/>
        <v>8897098</v>
      </c>
      <c r="AK101" s="116">
        <f t="shared" si="13"/>
        <v>8822192</v>
      </c>
      <c r="AL101" s="116">
        <f t="shared" si="13"/>
        <v>8274201</v>
      </c>
      <c r="AM101" s="116">
        <f t="shared" si="13"/>
        <v>7851346</v>
      </c>
      <c r="AN101" s="116">
        <f t="shared" si="13"/>
        <v>7564581</v>
      </c>
      <c r="AO101" s="116">
        <f t="shared" si="13"/>
        <v>7436845</v>
      </c>
      <c r="AP101" s="296"/>
      <c r="AQ101" s="296"/>
    </row>
    <row r="102" spans="1:43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customFormat="1" x14ac:dyDescent="0.25">
      <c r="A107" s="7"/>
      <c r="B107" s="7"/>
      <c r="C107" s="7"/>
      <c r="D107" s="7"/>
      <c r="E107" s="7"/>
      <c r="F107" s="7"/>
      <c r="G107" s="7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310"/>
      <c r="AD107" s="310"/>
      <c r="AE107" s="310"/>
      <c r="AF107" s="310"/>
      <c r="AG107" s="310"/>
      <c r="AH107" s="310"/>
      <c r="AI107" s="310"/>
      <c r="AJ107" s="310"/>
      <c r="AK107" s="310"/>
      <c r="AL107" s="310"/>
      <c r="AM107" s="310"/>
      <c r="AN107" s="310"/>
      <c r="AO107" s="310"/>
      <c r="AP107" s="7"/>
      <c r="AQ107" s="7"/>
    </row>
    <row r="108" spans="1:43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customFormat="1" hidden="1" x14ac:dyDescent="0.25"/>
    <row r="110" spans="1:43" x14ac:dyDescent="0.25"/>
    <row r="111" spans="1:43" x14ac:dyDescent="0.25"/>
    <row r="112" spans="1:43" x14ac:dyDescent="0.25"/>
    <row r="113" x14ac:dyDescent="0.25"/>
  </sheetData>
  <mergeCells count="1">
    <mergeCell ref="H1:U1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M43:N4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M187"/>
  <sheetViews>
    <sheetView zoomScale="70" zoomScaleNormal="70" workbookViewId="0"/>
  </sheetViews>
  <sheetFormatPr defaultColWidth="0" defaultRowHeight="15" zeroHeight="1" x14ac:dyDescent="0.25"/>
  <cols>
    <col min="1" max="1" width="55.7109375" style="2" customWidth="1"/>
    <col min="2" max="5" width="18.5703125" style="2" customWidth="1"/>
    <col min="6" max="7" width="19.140625" style="2" customWidth="1"/>
    <col min="8" max="8" width="19.140625" style="125" customWidth="1"/>
    <col min="9" max="9" width="19.140625" style="142" customWidth="1"/>
    <col min="10" max="40" width="19.140625" style="125" customWidth="1"/>
    <col min="41" max="41" width="19.140625" style="2" customWidth="1"/>
    <col min="42" max="42" width="9.140625" style="33" customWidth="1"/>
    <col min="43" max="43" width="0" style="2" hidden="1"/>
    <col min="44" max="16315" width="0" style="341" hidden="1"/>
    <col min="16316" max="16384" width="9.140625" style="341" hidden="1"/>
  </cols>
  <sheetData>
    <row r="1" spans="1:43" ht="107.25" customHeight="1" x14ac:dyDescent="0.25">
      <c r="A1" s="39"/>
      <c r="B1" s="39"/>
      <c r="C1" s="39"/>
      <c r="D1" s="39"/>
      <c r="E1" s="39"/>
      <c r="F1" s="39"/>
      <c r="G1" s="39"/>
      <c r="H1" s="51"/>
      <c r="I1" s="46"/>
      <c r="J1" s="394" t="s">
        <v>119</v>
      </c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3" s="342" customFormat="1" ht="25.5" customHeight="1" x14ac:dyDescent="0.25">
      <c r="A2" s="297" t="s">
        <v>295</v>
      </c>
      <c r="B2" s="194" t="s">
        <v>443</v>
      </c>
      <c r="C2" s="194" t="s">
        <v>436</v>
      </c>
      <c r="D2" s="194" t="s">
        <v>433</v>
      </c>
      <c r="E2" s="194" t="s">
        <v>422</v>
      </c>
      <c r="F2" s="194" t="s">
        <v>400</v>
      </c>
      <c r="G2" s="194" t="s">
        <v>389</v>
      </c>
      <c r="H2" s="194" t="s">
        <v>225</v>
      </c>
      <c r="I2" s="195" t="s">
        <v>0</v>
      </c>
      <c r="J2" s="194" t="s">
        <v>1</v>
      </c>
      <c r="K2" s="194" t="s">
        <v>2</v>
      </c>
      <c r="L2" s="194" t="s">
        <v>3</v>
      </c>
      <c r="M2" s="194" t="s">
        <v>4</v>
      </c>
      <c r="N2" s="194" t="s">
        <v>5</v>
      </c>
      <c r="O2" s="194" t="s">
        <v>6</v>
      </c>
      <c r="P2" s="194" t="s">
        <v>7</v>
      </c>
      <c r="Q2" s="194" t="s">
        <v>8</v>
      </c>
      <c r="R2" s="194" t="s">
        <v>9</v>
      </c>
      <c r="S2" s="194" t="s">
        <v>10</v>
      </c>
      <c r="T2" s="194" t="s">
        <v>11</v>
      </c>
      <c r="U2" s="194" t="s">
        <v>12</v>
      </c>
      <c r="V2" s="194" t="s">
        <v>13</v>
      </c>
      <c r="W2" s="194" t="s">
        <v>14</v>
      </c>
      <c r="X2" s="194" t="s">
        <v>15</v>
      </c>
      <c r="Y2" s="194" t="s">
        <v>16</v>
      </c>
      <c r="Z2" s="194" t="s">
        <v>17</v>
      </c>
      <c r="AA2" s="194" t="s">
        <v>18</v>
      </c>
      <c r="AB2" s="194" t="s">
        <v>19</v>
      </c>
      <c r="AC2" s="194" t="s">
        <v>20</v>
      </c>
      <c r="AD2" s="194" t="s">
        <v>34</v>
      </c>
      <c r="AE2" s="194" t="s">
        <v>21</v>
      </c>
      <c r="AF2" s="194" t="s">
        <v>22</v>
      </c>
      <c r="AG2" s="194" t="s">
        <v>23</v>
      </c>
      <c r="AH2" s="194" t="s">
        <v>24</v>
      </c>
      <c r="AI2" s="194" t="s">
        <v>25</v>
      </c>
      <c r="AJ2" s="194" t="s">
        <v>26</v>
      </c>
      <c r="AK2" s="194" t="s">
        <v>27</v>
      </c>
      <c r="AL2" s="194" t="s">
        <v>28</v>
      </c>
      <c r="AM2" s="194" t="s">
        <v>29</v>
      </c>
      <c r="AN2" s="194" t="s">
        <v>30</v>
      </c>
      <c r="AO2" s="194" t="s">
        <v>31</v>
      </c>
      <c r="AP2" s="348"/>
      <c r="AQ2" s="196"/>
    </row>
    <row r="3" spans="1:43" s="292" customFormat="1" ht="15.75" x14ac:dyDescent="0.25">
      <c r="A3" s="143" t="s">
        <v>291</v>
      </c>
      <c r="B3" s="143"/>
      <c r="C3" s="143"/>
      <c r="D3" s="143"/>
      <c r="E3" s="143"/>
      <c r="F3" s="159"/>
      <c r="G3" s="159"/>
      <c r="H3" s="159"/>
      <c r="I3" s="299"/>
      <c r="J3" s="159"/>
      <c r="K3" s="159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326"/>
      <c r="AQ3" s="121"/>
    </row>
    <row r="4" spans="1:43" s="343" customFormat="1" ht="15.75" x14ac:dyDescent="0.25">
      <c r="A4" s="170" t="s">
        <v>292</v>
      </c>
      <c r="B4" s="170"/>
      <c r="C4" s="170"/>
      <c r="D4" s="170"/>
      <c r="E4" s="170"/>
      <c r="F4" s="159"/>
      <c r="G4" s="159"/>
      <c r="H4" s="159"/>
      <c r="I4" s="299"/>
      <c r="J4" s="159"/>
      <c r="K4" s="159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329"/>
      <c r="AQ4" s="170"/>
    </row>
    <row r="5" spans="1:43" s="343" customFormat="1" ht="15.75" x14ac:dyDescent="0.25">
      <c r="A5" s="170" t="s">
        <v>290</v>
      </c>
      <c r="B5" s="170"/>
      <c r="C5" s="170"/>
      <c r="D5" s="170"/>
      <c r="E5" s="170"/>
      <c r="F5" s="159"/>
      <c r="G5" s="159"/>
      <c r="H5" s="159"/>
      <c r="I5" s="299"/>
      <c r="J5" s="159"/>
      <c r="K5" s="159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329"/>
      <c r="AQ5" s="170"/>
    </row>
    <row r="6" spans="1:43" s="294" customFormat="1" ht="15.75" x14ac:dyDescent="0.25">
      <c r="A6" s="128"/>
      <c r="B6" s="128"/>
      <c r="C6" s="128"/>
      <c r="D6" s="128"/>
      <c r="E6" s="128"/>
      <c r="F6" s="178"/>
      <c r="G6" s="178"/>
      <c r="H6" s="178"/>
      <c r="I6" s="300"/>
      <c r="J6" s="178"/>
      <c r="K6" s="17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63"/>
      <c r="AQ6" s="162"/>
    </row>
    <row r="7" spans="1:43" s="294" customFormat="1" ht="15.75" x14ac:dyDescent="0.25">
      <c r="A7" s="45" t="s">
        <v>293</v>
      </c>
      <c r="B7" s="301">
        <v>34500.058640000003</v>
      </c>
      <c r="C7" s="301">
        <f>'[3]BANCO DE DADOS'!$B$652</f>
        <v>33818.065630000005</v>
      </c>
      <c r="D7" s="301">
        <v>33056.139040000002</v>
      </c>
      <c r="E7" s="301">
        <v>32374.59187</v>
      </c>
      <c r="F7" s="301">
        <v>31748.142659999998</v>
      </c>
      <c r="G7" s="301">
        <v>30989.666679999998</v>
      </c>
      <c r="H7" s="301">
        <v>30248.251179999999</v>
      </c>
      <c r="I7" s="301">
        <v>29423.484370000002</v>
      </c>
      <c r="J7" s="302">
        <v>28528.527969999999</v>
      </c>
      <c r="K7" s="302">
        <v>27411.791829999998</v>
      </c>
      <c r="L7" s="302">
        <v>29060.537700000004</v>
      </c>
      <c r="M7" s="302">
        <v>27829.7</v>
      </c>
      <c r="N7" s="302">
        <v>26799</v>
      </c>
      <c r="O7" s="302">
        <v>25428</v>
      </c>
      <c r="P7" s="302">
        <v>23858</v>
      </c>
      <c r="Q7" s="302">
        <v>22245</v>
      </c>
      <c r="R7" s="302">
        <v>21388</v>
      </c>
      <c r="S7" s="302">
        <v>21219</v>
      </c>
      <c r="T7" s="302">
        <v>23044</v>
      </c>
      <c r="U7" s="302">
        <v>38356</v>
      </c>
      <c r="V7" s="302">
        <v>53083</v>
      </c>
      <c r="W7" s="302">
        <v>66602</v>
      </c>
      <c r="X7" s="302">
        <v>78799</v>
      </c>
      <c r="Y7" s="302">
        <v>77897</v>
      </c>
      <c r="Z7" s="302">
        <v>78228</v>
      </c>
      <c r="AA7" s="302">
        <v>81244</v>
      </c>
      <c r="AB7" s="302">
        <v>85345</v>
      </c>
      <c r="AC7" s="302">
        <v>122917</v>
      </c>
      <c r="AD7" s="302">
        <v>123627</v>
      </c>
      <c r="AE7" s="302">
        <v>126044</v>
      </c>
      <c r="AF7" s="302">
        <v>124621</v>
      </c>
      <c r="AG7" s="302">
        <v>123160</v>
      </c>
      <c r="AH7" s="302">
        <v>121564</v>
      </c>
      <c r="AI7" s="302">
        <v>119943</v>
      </c>
      <c r="AJ7" s="302">
        <v>118515</v>
      </c>
      <c r="AK7" s="302">
        <v>116532</v>
      </c>
      <c r="AL7" s="302">
        <v>114916</v>
      </c>
      <c r="AM7" s="302">
        <v>112607.899</v>
      </c>
      <c r="AN7" s="302">
        <v>108705</v>
      </c>
      <c r="AO7" s="302">
        <v>105070</v>
      </c>
      <c r="AP7" s="163"/>
      <c r="AQ7" s="163"/>
    </row>
    <row r="8" spans="1:43" s="294" customFormat="1" ht="15.75" x14ac:dyDescent="0.25">
      <c r="A8" s="17" t="s">
        <v>294</v>
      </c>
      <c r="B8" s="303">
        <v>13773.900109999999</v>
      </c>
      <c r="C8" s="303">
        <f>'[3]BANCO DE DADOS'!$B$653</f>
        <v>14658.308370000001</v>
      </c>
      <c r="D8" s="303">
        <v>15368.488369999999</v>
      </c>
      <c r="E8" s="303">
        <v>15906.94786</v>
      </c>
      <c r="F8" s="303">
        <v>16423.557349999999</v>
      </c>
      <c r="G8" s="303">
        <v>16460.35512</v>
      </c>
      <c r="H8" s="303">
        <v>16460.055609999999</v>
      </c>
      <c r="I8" s="303">
        <v>16485.41044</v>
      </c>
      <c r="J8" s="304">
        <v>16551.472300000001</v>
      </c>
      <c r="K8" s="304">
        <v>16994.669100000003</v>
      </c>
      <c r="L8" s="304">
        <v>17910.74494</v>
      </c>
      <c r="M8" s="304">
        <v>18820.3</v>
      </c>
      <c r="N8" s="304">
        <v>19649</v>
      </c>
      <c r="O8" s="304">
        <v>20096</v>
      </c>
      <c r="P8" s="304">
        <v>20094</v>
      </c>
      <c r="Q8" s="304">
        <v>20122</v>
      </c>
      <c r="R8" s="304">
        <v>20073</v>
      </c>
      <c r="S8" s="304">
        <v>19361</v>
      </c>
      <c r="T8" s="304">
        <v>18612</v>
      </c>
      <c r="U8" s="304">
        <v>17875</v>
      </c>
      <c r="V8" s="304">
        <v>17374</v>
      </c>
      <c r="W8" s="304">
        <v>17020</v>
      </c>
      <c r="X8" s="304">
        <v>15945</v>
      </c>
      <c r="Y8" s="304">
        <v>14598</v>
      </c>
      <c r="Z8" s="304">
        <v>13053</v>
      </c>
      <c r="AA8" s="304">
        <v>10264</v>
      </c>
      <c r="AB8" s="304">
        <v>8424</v>
      </c>
      <c r="AC8" s="304">
        <v>6317</v>
      </c>
      <c r="AD8" s="304">
        <v>4981</v>
      </c>
      <c r="AE8" s="304">
        <v>4835</v>
      </c>
      <c r="AF8" s="304">
        <v>4826</v>
      </c>
      <c r="AG8" s="304">
        <v>1188</v>
      </c>
      <c r="AH8" s="304">
        <v>772</v>
      </c>
      <c r="AI8" s="304">
        <v>0</v>
      </c>
      <c r="AJ8" s="304">
        <v>0</v>
      </c>
      <c r="AK8" s="304">
        <v>0</v>
      </c>
      <c r="AL8" s="304">
        <v>0</v>
      </c>
      <c r="AM8" s="304">
        <v>0</v>
      </c>
      <c r="AN8" s="304">
        <v>0</v>
      </c>
      <c r="AO8" s="304">
        <v>0</v>
      </c>
      <c r="AP8" s="163"/>
      <c r="AQ8" s="165"/>
    </row>
    <row r="9" spans="1:43" s="294" customFormat="1" ht="15.75" x14ac:dyDescent="0.25">
      <c r="A9" s="45" t="s">
        <v>306</v>
      </c>
      <c r="B9" s="301">
        <v>0</v>
      </c>
      <c r="C9" s="301">
        <v>0</v>
      </c>
      <c r="D9" s="301">
        <v>0</v>
      </c>
      <c r="E9" s="301">
        <v>0</v>
      </c>
      <c r="F9" s="301">
        <v>0</v>
      </c>
      <c r="G9" s="301">
        <v>0</v>
      </c>
      <c r="H9" s="301">
        <v>0</v>
      </c>
      <c r="I9" s="301">
        <v>0</v>
      </c>
      <c r="J9" s="301">
        <v>0</v>
      </c>
      <c r="K9" s="301">
        <v>0</v>
      </c>
      <c r="L9" s="301">
        <v>0</v>
      </c>
      <c r="M9" s="301">
        <v>0</v>
      </c>
      <c r="N9" s="301">
        <v>0</v>
      </c>
      <c r="O9" s="301">
        <v>0</v>
      </c>
      <c r="P9" s="301">
        <v>0</v>
      </c>
      <c r="Q9" s="301">
        <v>0</v>
      </c>
      <c r="R9" s="301">
        <v>0</v>
      </c>
      <c r="S9" s="301">
        <v>0</v>
      </c>
      <c r="T9" s="301">
        <v>0</v>
      </c>
      <c r="U9" s="301">
        <v>0</v>
      </c>
      <c r="V9" s="301">
        <v>0</v>
      </c>
      <c r="W9" s="301">
        <v>0</v>
      </c>
      <c r="X9" s="301">
        <v>0</v>
      </c>
      <c r="Y9" s="302">
        <v>0</v>
      </c>
      <c r="Z9" s="302">
        <v>540</v>
      </c>
      <c r="AA9" s="302">
        <v>1635</v>
      </c>
      <c r="AB9" s="302">
        <v>2912</v>
      </c>
      <c r="AC9" s="302">
        <v>3254</v>
      </c>
      <c r="AD9" s="302">
        <v>3047</v>
      </c>
      <c r="AE9" s="302">
        <v>5157</v>
      </c>
      <c r="AF9" s="302">
        <v>5107</v>
      </c>
      <c r="AG9" s="302">
        <v>4957</v>
      </c>
      <c r="AH9" s="302">
        <v>4929</v>
      </c>
      <c r="AI9" s="302">
        <v>5184</v>
      </c>
      <c r="AJ9" s="302">
        <v>5034</v>
      </c>
      <c r="AK9" s="302">
        <v>4767</v>
      </c>
      <c r="AL9" s="302">
        <v>4717</v>
      </c>
      <c r="AM9" s="302">
        <v>5030</v>
      </c>
      <c r="AN9" s="302">
        <v>5006</v>
      </c>
      <c r="AO9" s="302">
        <v>4764</v>
      </c>
      <c r="AP9" s="163"/>
      <c r="AQ9" s="163"/>
    </row>
    <row r="10" spans="1:43" s="294" customFormat="1" ht="15.75" x14ac:dyDescent="0.25">
      <c r="A10" s="17" t="s">
        <v>307</v>
      </c>
      <c r="B10" s="303">
        <v>0</v>
      </c>
      <c r="C10" s="303">
        <v>0</v>
      </c>
      <c r="D10" s="303">
        <v>0</v>
      </c>
      <c r="E10" s="303">
        <v>0</v>
      </c>
      <c r="F10" s="303">
        <v>0</v>
      </c>
      <c r="G10" s="303">
        <v>0</v>
      </c>
      <c r="H10" s="303">
        <v>0</v>
      </c>
      <c r="I10" s="303">
        <v>0</v>
      </c>
      <c r="J10" s="303">
        <v>0</v>
      </c>
      <c r="K10" s="303">
        <v>0</v>
      </c>
      <c r="L10" s="303">
        <v>0</v>
      </c>
      <c r="M10" s="303">
        <v>0</v>
      </c>
      <c r="N10" s="303">
        <v>0</v>
      </c>
      <c r="O10" s="303">
        <v>0</v>
      </c>
      <c r="P10" s="303">
        <v>0</v>
      </c>
      <c r="Q10" s="303">
        <v>0</v>
      </c>
      <c r="R10" s="303">
        <v>0</v>
      </c>
      <c r="S10" s="303">
        <v>0</v>
      </c>
      <c r="T10" s="303">
        <v>0</v>
      </c>
      <c r="U10" s="303">
        <v>0</v>
      </c>
      <c r="V10" s="303">
        <v>0</v>
      </c>
      <c r="W10" s="303">
        <v>0</v>
      </c>
      <c r="X10" s="303">
        <v>0</v>
      </c>
      <c r="Y10" s="303">
        <v>0</v>
      </c>
      <c r="Z10" s="303">
        <v>0</v>
      </c>
      <c r="AA10" s="303">
        <v>0</v>
      </c>
      <c r="AB10" s="303">
        <v>0</v>
      </c>
      <c r="AC10" s="304">
        <v>0</v>
      </c>
      <c r="AD10" s="304">
        <v>3327</v>
      </c>
      <c r="AE10" s="304">
        <v>13218</v>
      </c>
      <c r="AF10" s="304">
        <v>22974</v>
      </c>
      <c r="AG10" s="304">
        <v>32605</v>
      </c>
      <c r="AH10" s="304">
        <v>38801</v>
      </c>
      <c r="AI10" s="304">
        <v>38337</v>
      </c>
      <c r="AJ10" s="304">
        <v>37869</v>
      </c>
      <c r="AK10" s="304">
        <v>37392</v>
      </c>
      <c r="AL10" s="304">
        <v>36875</v>
      </c>
      <c r="AM10" s="304">
        <v>36354</v>
      </c>
      <c r="AN10" s="304">
        <v>35768</v>
      </c>
      <c r="AO10" s="304">
        <v>35235</v>
      </c>
      <c r="AP10" s="163"/>
      <c r="AQ10" s="165"/>
    </row>
    <row r="11" spans="1:43" s="294" customFormat="1" ht="15.75" x14ac:dyDescent="0.25">
      <c r="A11" s="45" t="s">
        <v>308</v>
      </c>
      <c r="B11" s="301">
        <v>0</v>
      </c>
      <c r="C11" s="301">
        <v>0</v>
      </c>
      <c r="D11" s="301">
        <v>0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  <c r="J11" s="301">
        <v>0</v>
      </c>
      <c r="K11" s="301">
        <v>0</v>
      </c>
      <c r="L11" s="301">
        <v>0</v>
      </c>
      <c r="M11" s="301">
        <v>0</v>
      </c>
      <c r="N11" s="301">
        <v>0</v>
      </c>
      <c r="O11" s="301">
        <v>0</v>
      </c>
      <c r="P11" s="301">
        <v>0</v>
      </c>
      <c r="Q11" s="301">
        <v>0</v>
      </c>
      <c r="R11" s="301">
        <v>0</v>
      </c>
      <c r="S11" s="301">
        <v>0</v>
      </c>
      <c r="T11" s="301">
        <v>0</v>
      </c>
      <c r="U11" s="301">
        <v>0</v>
      </c>
      <c r="V11" s="302">
        <v>0</v>
      </c>
      <c r="W11" s="302">
        <v>154931</v>
      </c>
      <c r="X11" s="302">
        <v>149465</v>
      </c>
      <c r="Y11" s="302">
        <v>144794</v>
      </c>
      <c r="Z11" s="302">
        <v>140585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0</v>
      </c>
      <c r="AJ11" s="302">
        <v>163291</v>
      </c>
      <c r="AK11" s="302">
        <v>159785</v>
      </c>
      <c r="AL11" s="302">
        <v>155924</v>
      </c>
      <c r="AM11" s="302">
        <v>148000</v>
      </c>
      <c r="AN11" s="302">
        <v>0</v>
      </c>
      <c r="AO11" s="302">
        <v>0</v>
      </c>
      <c r="AP11" s="163"/>
      <c r="AQ11" s="163"/>
    </row>
    <row r="12" spans="1:43" s="294" customFormat="1" ht="15.75" x14ac:dyDescent="0.25">
      <c r="A12" s="17" t="s">
        <v>309</v>
      </c>
      <c r="B12" s="303">
        <v>81525.125019999992</v>
      </c>
      <c r="C12" s="303">
        <f>'[3]BANCO DE DADOS'!$B$657</f>
        <v>81572.580679999999</v>
      </c>
      <c r="D12" s="303">
        <v>60375.083100000003</v>
      </c>
      <c r="E12" s="303">
        <v>68472.479519999993</v>
      </c>
      <c r="F12" s="303">
        <v>70655.875629999995</v>
      </c>
      <c r="G12" s="303">
        <v>73287.734410000005</v>
      </c>
      <c r="H12" s="303">
        <v>75855.904679999992</v>
      </c>
      <c r="I12" s="303">
        <v>77873.014479999998</v>
      </c>
      <c r="J12" s="304">
        <v>78086.842780000006</v>
      </c>
      <c r="K12" s="304">
        <v>77953.506479999996</v>
      </c>
      <c r="L12" s="304">
        <v>72444.927159999992</v>
      </c>
      <c r="M12" s="304">
        <v>72471.600000000006</v>
      </c>
      <c r="N12" s="304">
        <v>72402</v>
      </c>
      <c r="O12" s="304">
        <v>72205</v>
      </c>
      <c r="P12" s="304">
        <v>72000</v>
      </c>
      <c r="Q12" s="304">
        <v>72057</v>
      </c>
      <c r="R12" s="304">
        <v>71585</v>
      </c>
      <c r="S12" s="304">
        <v>71568</v>
      </c>
      <c r="T12" s="304">
        <v>71366</v>
      </c>
      <c r="U12" s="304">
        <v>71268</v>
      </c>
      <c r="V12" s="304">
        <v>71068</v>
      </c>
      <c r="W12" s="304">
        <v>70262</v>
      </c>
      <c r="X12" s="304">
        <v>70200</v>
      </c>
      <c r="Y12" s="304">
        <v>69768</v>
      </c>
      <c r="Z12" s="304">
        <v>68600</v>
      </c>
      <c r="AA12" s="304">
        <v>64990</v>
      </c>
      <c r="AB12" s="304">
        <v>62003</v>
      </c>
      <c r="AC12" s="304">
        <v>60196</v>
      </c>
      <c r="AD12" s="304">
        <v>59269</v>
      </c>
      <c r="AE12" s="304">
        <v>60270</v>
      </c>
      <c r="AF12" s="304">
        <v>60187</v>
      </c>
      <c r="AG12" s="304">
        <v>59316</v>
      </c>
      <c r="AH12" s="304">
        <v>59255</v>
      </c>
      <c r="AI12" s="304">
        <v>57570</v>
      </c>
      <c r="AJ12" s="304">
        <v>56671</v>
      </c>
      <c r="AK12" s="304">
        <v>55432</v>
      </c>
      <c r="AL12" s="304">
        <v>54074</v>
      </c>
      <c r="AM12" s="304">
        <v>41227</v>
      </c>
      <c r="AN12" s="304">
        <v>26437</v>
      </c>
      <c r="AO12" s="304">
        <v>13720</v>
      </c>
      <c r="AP12" s="163"/>
      <c r="AQ12" s="165"/>
    </row>
    <row r="13" spans="1:43" s="294" customFormat="1" ht="15.75" x14ac:dyDescent="0.25">
      <c r="A13" s="45" t="s">
        <v>310</v>
      </c>
      <c r="B13" s="301">
        <v>0</v>
      </c>
      <c r="C13" s="301">
        <v>0</v>
      </c>
      <c r="D13" s="301">
        <v>0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0</v>
      </c>
      <c r="X13" s="301">
        <v>0</v>
      </c>
      <c r="Y13" s="301">
        <v>0</v>
      </c>
      <c r="Z13" s="301">
        <v>0</v>
      </c>
      <c r="AA13" s="302">
        <v>0</v>
      </c>
      <c r="AB13" s="302">
        <v>3879</v>
      </c>
      <c r="AC13" s="302">
        <v>15516</v>
      </c>
      <c r="AD13" s="302">
        <v>27091</v>
      </c>
      <c r="AE13" s="302">
        <v>38791</v>
      </c>
      <c r="AF13" s="302">
        <v>46550</v>
      </c>
      <c r="AG13" s="302">
        <v>46627</v>
      </c>
      <c r="AH13" s="302">
        <v>46649</v>
      </c>
      <c r="AI13" s="302">
        <v>46668</v>
      </c>
      <c r="AJ13" s="302">
        <v>46770</v>
      </c>
      <c r="AK13" s="302">
        <v>46842</v>
      </c>
      <c r="AL13" s="302">
        <v>46889</v>
      </c>
      <c r="AM13" s="302">
        <v>46903</v>
      </c>
      <c r="AN13" s="302">
        <v>46947</v>
      </c>
      <c r="AO13" s="302">
        <v>47031</v>
      </c>
      <c r="AP13" s="163"/>
      <c r="AQ13" s="163"/>
    </row>
    <row r="14" spans="1:43" s="294" customFormat="1" ht="15.75" x14ac:dyDescent="0.25">
      <c r="A14" s="17" t="s">
        <v>311</v>
      </c>
      <c r="B14" s="303">
        <v>0</v>
      </c>
      <c r="C14" s="303">
        <v>0</v>
      </c>
      <c r="D14" s="303">
        <v>0</v>
      </c>
      <c r="E14" s="303">
        <v>0</v>
      </c>
      <c r="F14" s="303">
        <v>0</v>
      </c>
      <c r="G14" s="303">
        <v>0</v>
      </c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03">
        <v>0</v>
      </c>
      <c r="N14" s="303">
        <v>0</v>
      </c>
      <c r="O14" s="303">
        <v>0</v>
      </c>
      <c r="P14" s="303">
        <v>0</v>
      </c>
      <c r="Q14" s="303">
        <v>0</v>
      </c>
      <c r="R14" s="303">
        <v>0</v>
      </c>
      <c r="S14" s="303">
        <v>0</v>
      </c>
      <c r="T14" s="303">
        <v>0</v>
      </c>
      <c r="U14" s="303">
        <v>0</v>
      </c>
      <c r="V14" s="303">
        <v>0</v>
      </c>
      <c r="W14" s="303">
        <v>0</v>
      </c>
      <c r="X14" s="303">
        <v>0</v>
      </c>
      <c r="Y14" s="303">
        <v>0</v>
      </c>
      <c r="Z14" s="303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0</v>
      </c>
      <c r="AG14" s="304">
        <v>7</v>
      </c>
      <c r="AH14" s="304">
        <v>7</v>
      </c>
      <c r="AI14" s="304">
        <v>8</v>
      </c>
      <c r="AJ14" s="304">
        <v>9</v>
      </c>
      <c r="AK14" s="304">
        <v>72049</v>
      </c>
      <c r="AL14" s="304">
        <v>69742</v>
      </c>
      <c r="AM14" s="304">
        <v>72069.702999999994</v>
      </c>
      <c r="AN14" s="304">
        <v>69352</v>
      </c>
      <c r="AO14" s="304">
        <v>3267.3560000000002</v>
      </c>
      <c r="AP14" s="163"/>
      <c r="AQ14" s="165"/>
    </row>
    <row r="15" spans="1:43" s="294" customFormat="1" ht="15.75" x14ac:dyDescent="0.25">
      <c r="A15" s="45" t="s">
        <v>312</v>
      </c>
      <c r="B15" s="301">
        <v>0</v>
      </c>
      <c r="C15" s="301">
        <v>0</v>
      </c>
      <c r="D15" s="301">
        <v>0</v>
      </c>
      <c r="E15" s="301">
        <v>0</v>
      </c>
      <c r="F15" s="301">
        <v>0</v>
      </c>
      <c r="G15" s="301">
        <v>12392.496959999999</v>
      </c>
      <c r="H15" s="301">
        <v>24779.708299999995</v>
      </c>
      <c r="I15" s="301">
        <v>37170.51989000001</v>
      </c>
      <c r="J15" s="302">
        <v>49419.147629999985</v>
      </c>
      <c r="K15" s="302">
        <v>47871.000603611101</v>
      </c>
      <c r="L15" s="302">
        <v>45510.330853382206</v>
      </c>
      <c r="M15" s="302">
        <v>45540.5</v>
      </c>
      <c r="N15" s="302">
        <v>49138</v>
      </c>
      <c r="O15" s="302">
        <v>49029</v>
      </c>
      <c r="P15" s="302">
        <v>48974</v>
      </c>
      <c r="Q15" s="302">
        <v>51404</v>
      </c>
      <c r="R15" s="302">
        <v>48824</v>
      </c>
      <c r="S15" s="302">
        <v>48754</v>
      </c>
      <c r="T15" s="302">
        <v>47994</v>
      </c>
      <c r="U15" s="302">
        <v>48080</v>
      </c>
      <c r="V15" s="302">
        <v>48397</v>
      </c>
      <c r="W15" s="302">
        <v>48278</v>
      </c>
      <c r="X15" s="302">
        <v>48260</v>
      </c>
      <c r="Y15" s="302">
        <v>48256</v>
      </c>
      <c r="Z15" s="302">
        <v>48293</v>
      </c>
      <c r="AA15" s="302">
        <v>48282</v>
      </c>
      <c r="AB15" s="302">
        <v>48265</v>
      </c>
      <c r="AC15" s="302">
        <v>48298</v>
      </c>
      <c r="AD15" s="302">
        <v>47771</v>
      </c>
      <c r="AE15" s="302">
        <v>48363</v>
      </c>
      <c r="AF15" s="302">
        <v>48335</v>
      </c>
      <c r="AG15" s="302">
        <v>48555</v>
      </c>
      <c r="AH15" s="302">
        <v>48521</v>
      </c>
      <c r="AI15" s="302">
        <v>48484</v>
      </c>
      <c r="AJ15" s="302">
        <v>48735</v>
      </c>
      <c r="AK15" s="302">
        <v>48856</v>
      </c>
      <c r="AL15" s="302">
        <v>48898</v>
      </c>
      <c r="AM15" s="302">
        <v>48853</v>
      </c>
      <c r="AN15" s="302">
        <v>48892</v>
      </c>
      <c r="AO15" s="302">
        <v>49025</v>
      </c>
      <c r="AP15" s="163"/>
      <c r="AQ15" s="163"/>
    </row>
    <row r="16" spans="1:43" s="294" customFormat="1" ht="15.75" x14ac:dyDescent="0.25">
      <c r="A16" s="17" t="s">
        <v>313</v>
      </c>
      <c r="B16" s="303"/>
      <c r="C16" s="303"/>
      <c r="D16" s="303"/>
      <c r="E16" s="303"/>
      <c r="F16" s="303">
        <v>0</v>
      </c>
      <c r="G16" s="303"/>
      <c r="H16" s="303">
        <v>0</v>
      </c>
      <c r="I16" s="303">
        <v>0</v>
      </c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03">
        <v>0</v>
      </c>
      <c r="P16" s="303">
        <v>0</v>
      </c>
      <c r="Q16" s="303">
        <v>0</v>
      </c>
      <c r="R16" s="303">
        <v>0</v>
      </c>
      <c r="S16" s="303">
        <v>0</v>
      </c>
      <c r="T16" s="303">
        <v>0</v>
      </c>
      <c r="U16" s="303">
        <v>0</v>
      </c>
      <c r="V16" s="303">
        <v>0</v>
      </c>
      <c r="W16" s="303">
        <v>0</v>
      </c>
      <c r="X16" s="303">
        <v>0</v>
      </c>
      <c r="Y16" s="303">
        <v>0</v>
      </c>
      <c r="Z16" s="303">
        <v>0</v>
      </c>
      <c r="AA16" s="303">
        <v>0</v>
      </c>
      <c r="AB16" s="303">
        <v>0</v>
      </c>
      <c r="AC16" s="303">
        <v>0</v>
      </c>
      <c r="AD16" s="303">
        <v>0</v>
      </c>
      <c r="AE16" s="303">
        <v>0</v>
      </c>
      <c r="AF16" s="303">
        <v>0</v>
      </c>
      <c r="AG16" s="303">
        <v>0</v>
      </c>
      <c r="AH16" s="303">
        <v>0</v>
      </c>
      <c r="AI16" s="303">
        <v>0</v>
      </c>
      <c r="AJ16" s="303">
        <v>0</v>
      </c>
      <c r="AK16" s="303">
        <v>0</v>
      </c>
      <c r="AL16" s="303">
        <v>0</v>
      </c>
      <c r="AM16" s="303">
        <v>0</v>
      </c>
      <c r="AN16" s="303">
        <v>0</v>
      </c>
      <c r="AO16" s="303">
        <v>0</v>
      </c>
      <c r="AP16" s="163"/>
      <c r="AQ16" s="165"/>
    </row>
    <row r="17" spans="1:16315" s="294" customFormat="1" ht="15.75" x14ac:dyDescent="0.25">
      <c r="A17" s="47" t="s">
        <v>314</v>
      </c>
      <c r="B17" s="301">
        <v>34198.831609999994</v>
      </c>
      <c r="C17" s="301">
        <f>'[3]BANCO DE DADOS'!$B$662</f>
        <v>31215.215390000001</v>
      </c>
      <c r="D17" s="301">
        <v>22383.679780000006</v>
      </c>
      <c r="E17" s="301">
        <v>25827.138320000002</v>
      </c>
      <c r="F17" s="301">
        <v>25851.04898</v>
      </c>
      <c r="G17" s="301">
        <v>25871.593409999998</v>
      </c>
      <c r="H17" s="301">
        <v>25874.408599999995</v>
      </c>
      <c r="I17" s="301">
        <v>25928.060719999998</v>
      </c>
      <c r="J17" s="302">
        <v>25855.665140000001</v>
      </c>
      <c r="K17" s="302">
        <v>25023.290491248892</v>
      </c>
      <c r="L17" s="302">
        <v>23820.867798981395</v>
      </c>
      <c r="M17" s="302">
        <v>23846.9</v>
      </c>
      <c r="N17" s="302">
        <v>25713</v>
      </c>
      <c r="O17" s="302">
        <v>25637</v>
      </c>
      <c r="P17" s="302">
        <v>25599</v>
      </c>
      <c r="Q17" s="302">
        <v>25685</v>
      </c>
      <c r="R17" s="302">
        <v>25533</v>
      </c>
      <c r="S17" s="302">
        <v>25519</v>
      </c>
      <c r="T17" s="302">
        <v>25551</v>
      </c>
      <c r="U17" s="302">
        <v>25302</v>
      </c>
      <c r="V17" s="302">
        <v>25308</v>
      </c>
      <c r="W17" s="302">
        <v>25233</v>
      </c>
      <c r="X17" s="302">
        <v>25221</v>
      </c>
      <c r="Y17" s="302">
        <v>25205</v>
      </c>
      <c r="Z17" s="302">
        <v>25219</v>
      </c>
      <c r="AA17" s="302">
        <v>25202</v>
      </c>
      <c r="AB17" s="302">
        <v>53307</v>
      </c>
      <c r="AC17" s="302">
        <v>46057</v>
      </c>
      <c r="AD17" s="302">
        <v>38586</v>
      </c>
      <c r="AE17" s="302">
        <v>32609</v>
      </c>
      <c r="AF17" s="302">
        <v>20401</v>
      </c>
      <c r="AG17" s="302">
        <v>14097</v>
      </c>
      <c r="AH17" s="302">
        <v>13549</v>
      </c>
      <c r="AI17" s="302">
        <v>2687</v>
      </c>
      <c r="AJ17" s="302">
        <v>5532</v>
      </c>
      <c r="AK17" s="302">
        <v>3883</v>
      </c>
      <c r="AL17" s="302">
        <v>3395</v>
      </c>
      <c r="AM17" s="302">
        <v>2882</v>
      </c>
      <c r="AN17" s="302">
        <v>1794</v>
      </c>
      <c r="AO17" s="302">
        <v>1443</v>
      </c>
      <c r="AP17" s="163"/>
      <c r="AQ17" s="163"/>
    </row>
    <row r="18" spans="1:16315" s="294" customFormat="1" ht="15.75" x14ac:dyDescent="0.25">
      <c r="A18" s="20" t="s">
        <v>315</v>
      </c>
      <c r="B18" s="303">
        <v>75973.869879999998</v>
      </c>
      <c r="C18" s="303">
        <f>'[3]BANCO DE DADOS'!$B$663</f>
        <v>71108.521560000008</v>
      </c>
      <c r="D18" s="303">
        <v>9312.5844400000078</v>
      </c>
      <c r="E18" s="303">
        <v>49676.431999999993</v>
      </c>
      <c r="F18" s="303">
        <v>46105.269730000007</v>
      </c>
      <c r="G18" s="303">
        <v>42989.126929999999</v>
      </c>
      <c r="H18" s="303">
        <v>54262.526060000004</v>
      </c>
      <c r="I18" s="303">
        <v>49858.392970000001</v>
      </c>
      <c r="J18" s="304">
        <v>45877.422730000006</v>
      </c>
      <c r="K18" s="304">
        <v>46573.597922135566</v>
      </c>
      <c r="L18" s="304">
        <v>51977.810735760067</v>
      </c>
      <c r="M18" s="304">
        <v>47341.2</v>
      </c>
      <c r="N18" s="304">
        <v>42842</v>
      </c>
      <c r="O18" s="304">
        <v>38268</v>
      </c>
      <c r="P18" s="304">
        <v>56327</v>
      </c>
      <c r="Q18" s="304">
        <v>50980</v>
      </c>
      <c r="R18" s="304">
        <v>45435</v>
      </c>
      <c r="S18" s="304">
        <v>40346</v>
      </c>
      <c r="T18" s="304">
        <v>57741</v>
      </c>
      <c r="U18" s="304">
        <v>50939</v>
      </c>
      <c r="V18" s="304">
        <v>43967</v>
      </c>
      <c r="W18" s="304">
        <v>37485</v>
      </c>
      <c r="X18" s="304">
        <v>56372</v>
      </c>
      <c r="Y18" s="304">
        <v>47965</v>
      </c>
      <c r="Z18" s="304">
        <v>40838</v>
      </c>
      <c r="AA18" s="304">
        <v>34472</v>
      </c>
      <c r="AB18" s="304">
        <v>25183</v>
      </c>
      <c r="AC18" s="304">
        <v>25198</v>
      </c>
      <c r="AD18" s="304">
        <v>24839</v>
      </c>
      <c r="AE18" s="304">
        <v>25229</v>
      </c>
      <c r="AF18" s="304">
        <v>25629</v>
      </c>
      <c r="AG18" s="304">
        <v>19417</v>
      </c>
      <c r="AH18" s="304">
        <v>8292</v>
      </c>
      <c r="AI18" s="304">
        <v>7334</v>
      </c>
      <c r="AJ18" s="304">
        <v>3395</v>
      </c>
      <c r="AK18" s="304">
        <v>3395</v>
      </c>
      <c r="AL18" s="304">
        <v>1198</v>
      </c>
      <c r="AM18" s="304">
        <v>0</v>
      </c>
      <c r="AN18" s="304">
        <v>0</v>
      </c>
      <c r="AO18" s="304">
        <v>0</v>
      </c>
      <c r="AP18" s="163"/>
      <c r="AQ18" s="165"/>
    </row>
    <row r="19" spans="1:16315" s="294" customFormat="1" ht="15.75" x14ac:dyDescent="0.25">
      <c r="A19" s="47" t="s">
        <v>316</v>
      </c>
      <c r="B19" s="301">
        <v>45279.253069999999</v>
      </c>
      <c r="C19" s="301">
        <f>'[3]BANCO DE DADOS'!$B$664</f>
        <v>41328.945199999995</v>
      </c>
      <c r="D19" s="301">
        <v>29635.99221</v>
      </c>
      <c r="E19" s="301">
        <v>34195.130939999995</v>
      </c>
      <c r="F19" s="301">
        <v>34226.788659999998</v>
      </c>
      <c r="G19" s="301">
        <v>34253.989479999997</v>
      </c>
      <c r="H19" s="301">
        <v>34257.716870000004</v>
      </c>
      <c r="I19" s="301">
        <v>34328.752350000002</v>
      </c>
      <c r="J19" s="302">
        <v>34232.910960000001</v>
      </c>
      <c r="K19" s="302">
        <v>33130.836589465565</v>
      </c>
      <c r="L19" s="302">
        <v>31538.828953392553</v>
      </c>
      <c r="M19" s="302">
        <v>31573.3</v>
      </c>
      <c r="N19" s="302">
        <v>34044</v>
      </c>
      <c r="O19" s="302">
        <v>33943</v>
      </c>
      <c r="P19" s="302">
        <v>33893</v>
      </c>
      <c r="Q19" s="302">
        <v>34007</v>
      </c>
      <c r="R19" s="302">
        <v>33768</v>
      </c>
      <c r="S19" s="302">
        <v>33748</v>
      </c>
      <c r="T19" s="302">
        <v>33652</v>
      </c>
      <c r="U19" s="302">
        <v>33500</v>
      </c>
      <c r="V19" s="302">
        <v>33507</v>
      </c>
      <c r="W19" s="302">
        <v>33408</v>
      </c>
      <c r="X19" s="302">
        <v>33393</v>
      </c>
      <c r="Y19" s="302">
        <v>33371</v>
      </c>
      <c r="Z19" s="302">
        <v>33390</v>
      </c>
      <c r="AA19" s="302">
        <v>30007</v>
      </c>
      <c r="AB19" s="302">
        <v>28558</v>
      </c>
      <c r="AC19" s="302">
        <v>28575</v>
      </c>
      <c r="AD19" s="302">
        <v>28166</v>
      </c>
      <c r="AE19" s="302">
        <v>11547</v>
      </c>
      <c r="AF19" s="302">
        <v>11729</v>
      </c>
      <c r="AG19" s="302">
        <v>6142</v>
      </c>
      <c r="AH19" s="302">
        <v>4273</v>
      </c>
      <c r="AI19" s="302">
        <v>0</v>
      </c>
      <c r="AJ19" s="302">
        <v>0</v>
      </c>
      <c r="AK19" s="302">
        <v>0</v>
      </c>
      <c r="AL19" s="302">
        <v>0</v>
      </c>
      <c r="AM19" s="302">
        <v>0</v>
      </c>
      <c r="AN19" s="302">
        <v>0</v>
      </c>
      <c r="AO19" s="302">
        <v>0</v>
      </c>
      <c r="AP19" s="146"/>
      <c r="AQ19" s="146">
        <v>0</v>
      </c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4"/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/>
      <c r="EU19" s="344"/>
      <c r="EV19" s="344"/>
      <c r="EW19" s="344"/>
      <c r="EX19" s="344"/>
      <c r="EY19" s="344"/>
      <c r="EZ19" s="344"/>
      <c r="FA19" s="344"/>
      <c r="FB19" s="344"/>
      <c r="FC19" s="344"/>
      <c r="FD19" s="344"/>
      <c r="FE19" s="344"/>
      <c r="FF19" s="344"/>
      <c r="FG19" s="344"/>
      <c r="FH19" s="344"/>
      <c r="FI19" s="344"/>
      <c r="FJ19" s="344"/>
      <c r="FK19" s="344"/>
      <c r="FL19" s="344"/>
      <c r="FM19" s="344"/>
      <c r="FN19" s="344"/>
      <c r="FO19" s="344"/>
      <c r="FP19" s="344"/>
      <c r="FQ19" s="344"/>
      <c r="FR19" s="344"/>
      <c r="FS19" s="344"/>
      <c r="FT19" s="344"/>
      <c r="FU19" s="344"/>
      <c r="FV19" s="344"/>
      <c r="FW19" s="344"/>
      <c r="FX19" s="344"/>
      <c r="FY19" s="344"/>
      <c r="FZ19" s="344"/>
      <c r="GA19" s="344"/>
      <c r="GB19" s="344"/>
      <c r="GC19" s="344"/>
      <c r="GD19" s="344"/>
      <c r="GE19" s="344"/>
      <c r="GF19" s="344"/>
      <c r="GG19" s="344"/>
      <c r="GH19" s="344"/>
      <c r="GI19" s="344"/>
      <c r="GJ19" s="344"/>
      <c r="GK19" s="344"/>
      <c r="GL19" s="344"/>
      <c r="GM19" s="344"/>
      <c r="GN19" s="344"/>
      <c r="GO19" s="344"/>
      <c r="GP19" s="344"/>
      <c r="GQ19" s="344"/>
      <c r="GR19" s="344"/>
      <c r="GS19" s="344"/>
      <c r="GT19" s="344"/>
      <c r="GU19" s="344"/>
      <c r="GV19" s="344"/>
      <c r="GW19" s="344"/>
      <c r="GX19" s="344"/>
      <c r="GY19" s="344"/>
      <c r="GZ19" s="344"/>
      <c r="HA19" s="344"/>
      <c r="HB19" s="344"/>
      <c r="HC19" s="344"/>
      <c r="HD19" s="344"/>
      <c r="HE19" s="344"/>
      <c r="HF19" s="344"/>
      <c r="HG19" s="344"/>
      <c r="HH19" s="344"/>
      <c r="HI19" s="344"/>
      <c r="HJ19" s="344"/>
      <c r="HK19" s="344"/>
      <c r="HL19" s="344"/>
      <c r="HM19" s="344"/>
      <c r="HN19" s="344"/>
      <c r="HO19" s="344"/>
      <c r="HP19" s="344"/>
      <c r="HQ19" s="344"/>
      <c r="HR19" s="344"/>
      <c r="HS19" s="344"/>
      <c r="HT19" s="344"/>
      <c r="HU19" s="344"/>
      <c r="HV19" s="344"/>
      <c r="HW19" s="344"/>
      <c r="HX19" s="344"/>
      <c r="HY19" s="344"/>
      <c r="HZ19" s="344"/>
      <c r="IA19" s="344"/>
      <c r="IB19" s="344"/>
      <c r="IC19" s="344"/>
      <c r="ID19" s="344"/>
      <c r="IE19" s="344"/>
      <c r="IF19" s="344"/>
      <c r="IG19" s="344"/>
      <c r="IH19" s="344"/>
      <c r="II19" s="344"/>
      <c r="IJ19" s="344"/>
      <c r="IK19" s="344"/>
      <c r="IL19" s="344"/>
      <c r="IM19" s="344"/>
      <c r="IN19" s="344"/>
      <c r="IO19" s="344"/>
      <c r="IP19" s="344"/>
      <c r="IQ19" s="344"/>
      <c r="IR19" s="344"/>
      <c r="IS19" s="344"/>
      <c r="IT19" s="344"/>
      <c r="IU19" s="344"/>
      <c r="IV19" s="344"/>
      <c r="IW19" s="344"/>
      <c r="IX19" s="344"/>
      <c r="IY19" s="344"/>
      <c r="IZ19" s="344"/>
      <c r="JA19" s="344"/>
      <c r="JB19" s="344"/>
      <c r="JC19" s="344"/>
      <c r="JD19" s="344"/>
      <c r="JE19" s="344"/>
      <c r="JF19" s="344"/>
      <c r="JG19" s="344"/>
      <c r="JH19" s="344"/>
      <c r="JI19" s="344"/>
      <c r="JJ19" s="344"/>
      <c r="JK19" s="344"/>
      <c r="JL19" s="344"/>
      <c r="JM19" s="344"/>
      <c r="JN19" s="344"/>
      <c r="JO19" s="344"/>
      <c r="JP19" s="344"/>
      <c r="JQ19" s="344"/>
      <c r="JR19" s="344"/>
      <c r="JS19" s="344"/>
      <c r="JT19" s="344"/>
      <c r="JU19" s="344"/>
      <c r="JV19" s="344"/>
      <c r="JW19" s="344"/>
      <c r="JX19" s="344"/>
      <c r="JY19" s="344"/>
      <c r="JZ19" s="344"/>
      <c r="KA19" s="344"/>
      <c r="KB19" s="344"/>
      <c r="KC19" s="344"/>
      <c r="KD19" s="344"/>
      <c r="KE19" s="344"/>
      <c r="KF19" s="344"/>
      <c r="KG19" s="344"/>
      <c r="KH19" s="344"/>
      <c r="KI19" s="344"/>
      <c r="KJ19" s="344"/>
      <c r="KK19" s="344"/>
      <c r="KL19" s="344"/>
      <c r="KM19" s="344"/>
      <c r="KN19" s="344"/>
      <c r="KO19" s="344"/>
      <c r="KP19" s="344"/>
      <c r="KQ19" s="344"/>
      <c r="KR19" s="344"/>
      <c r="KS19" s="344"/>
      <c r="KT19" s="344"/>
      <c r="KU19" s="344"/>
      <c r="KV19" s="344"/>
      <c r="KW19" s="344"/>
      <c r="KX19" s="344"/>
      <c r="KY19" s="344"/>
      <c r="KZ19" s="344"/>
      <c r="LA19" s="344"/>
      <c r="LB19" s="344"/>
      <c r="LC19" s="344"/>
      <c r="LD19" s="344"/>
      <c r="LE19" s="344"/>
      <c r="LF19" s="344"/>
      <c r="LG19" s="344"/>
      <c r="LH19" s="344"/>
      <c r="LI19" s="344"/>
      <c r="LJ19" s="344"/>
      <c r="LK19" s="344"/>
      <c r="LL19" s="344"/>
      <c r="LM19" s="344"/>
      <c r="LN19" s="344"/>
      <c r="LO19" s="344"/>
      <c r="LP19" s="344"/>
      <c r="LQ19" s="344"/>
      <c r="LR19" s="344"/>
      <c r="LS19" s="344"/>
      <c r="LT19" s="344"/>
      <c r="LU19" s="344"/>
      <c r="LV19" s="344"/>
      <c r="LW19" s="344"/>
      <c r="LX19" s="344"/>
      <c r="LY19" s="344"/>
      <c r="LZ19" s="344"/>
      <c r="MA19" s="344"/>
      <c r="MB19" s="344"/>
      <c r="MC19" s="344"/>
      <c r="MD19" s="344"/>
      <c r="ME19" s="344"/>
      <c r="MF19" s="344"/>
      <c r="MG19" s="344"/>
      <c r="MH19" s="344"/>
      <c r="MI19" s="344"/>
      <c r="MJ19" s="344"/>
      <c r="MK19" s="344"/>
      <c r="ML19" s="344"/>
      <c r="MM19" s="344"/>
      <c r="MN19" s="344"/>
      <c r="MO19" s="344"/>
      <c r="MP19" s="344"/>
      <c r="MQ19" s="344"/>
      <c r="MR19" s="344"/>
      <c r="MS19" s="344"/>
      <c r="MT19" s="344"/>
      <c r="MU19" s="344"/>
      <c r="MV19" s="344"/>
      <c r="MW19" s="344"/>
      <c r="MX19" s="344"/>
      <c r="MY19" s="344"/>
      <c r="MZ19" s="344"/>
      <c r="NA19" s="344"/>
      <c r="NB19" s="344"/>
      <c r="NC19" s="344"/>
      <c r="ND19" s="344"/>
      <c r="NE19" s="344"/>
      <c r="NF19" s="344"/>
      <c r="NG19" s="344"/>
      <c r="NH19" s="344"/>
      <c r="NI19" s="344"/>
      <c r="NJ19" s="344"/>
      <c r="NK19" s="344"/>
      <c r="NL19" s="344"/>
      <c r="NM19" s="344"/>
      <c r="NN19" s="344"/>
      <c r="NO19" s="344"/>
      <c r="NP19" s="344"/>
      <c r="NQ19" s="344"/>
      <c r="NR19" s="344"/>
      <c r="NS19" s="344"/>
      <c r="NT19" s="344"/>
      <c r="NU19" s="344"/>
      <c r="NV19" s="344"/>
      <c r="NW19" s="344"/>
      <c r="NX19" s="344"/>
      <c r="NY19" s="344"/>
      <c r="NZ19" s="344"/>
      <c r="OA19" s="344"/>
      <c r="OB19" s="344"/>
      <c r="OC19" s="344"/>
      <c r="OD19" s="344"/>
      <c r="OE19" s="344"/>
      <c r="OF19" s="344"/>
      <c r="OG19" s="344"/>
      <c r="OH19" s="344"/>
      <c r="OI19" s="344"/>
      <c r="OJ19" s="344"/>
      <c r="OK19" s="344"/>
      <c r="OL19" s="344"/>
      <c r="OM19" s="344"/>
      <c r="ON19" s="344"/>
      <c r="OO19" s="344"/>
      <c r="OP19" s="344"/>
      <c r="OQ19" s="344"/>
      <c r="OR19" s="344"/>
      <c r="OS19" s="344"/>
      <c r="OT19" s="344"/>
      <c r="OU19" s="344"/>
      <c r="OV19" s="344"/>
      <c r="OW19" s="344"/>
      <c r="OX19" s="344"/>
      <c r="OY19" s="344"/>
      <c r="OZ19" s="344"/>
      <c r="PA19" s="344"/>
      <c r="PB19" s="344"/>
      <c r="PC19" s="344"/>
      <c r="PD19" s="344"/>
      <c r="PE19" s="344"/>
      <c r="PF19" s="344"/>
      <c r="PG19" s="344"/>
      <c r="PH19" s="344"/>
      <c r="PI19" s="344"/>
      <c r="PJ19" s="344"/>
      <c r="PK19" s="344"/>
      <c r="PL19" s="344"/>
      <c r="PM19" s="344"/>
      <c r="PN19" s="344"/>
      <c r="PO19" s="344"/>
      <c r="PP19" s="344"/>
      <c r="PQ19" s="344"/>
      <c r="PR19" s="344"/>
      <c r="PS19" s="344"/>
      <c r="PT19" s="344"/>
      <c r="PU19" s="344"/>
      <c r="PV19" s="344"/>
      <c r="PW19" s="344"/>
      <c r="PX19" s="344"/>
      <c r="PY19" s="344"/>
      <c r="PZ19" s="344"/>
      <c r="QA19" s="344"/>
      <c r="QB19" s="344"/>
      <c r="QC19" s="344"/>
      <c r="QD19" s="344"/>
      <c r="QE19" s="344"/>
      <c r="QF19" s="344"/>
      <c r="QG19" s="344"/>
      <c r="QH19" s="344"/>
      <c r="QI19" s="344"/>
      <c r="QJ19" s="344"/>
      <c r="QK19" s="344"/>
      <c r="QL19" s="344"/>
      <c r="QM19" s="344"/>
      <c r="QN19" s="344"/>
      <c r="QO19" s="344"/>
      <c r="QP19" s="344"/>
      <c r="QQ19" s="344"/>
      <c r="QR19" s="344"/>
      <c r="QS19" s="344"/>
      <c r="QT19" s="344"/>
      <c r="QU19" s="344"/>
      <c r="QV19" s="344"/>
      <c r="QW19" s="344"/>
      <c r="QX19" s="344"/>
      <c r="QY19" s="344"/>
      <c r="QZ19" s="344"/>
      <c r="RA19" s="344"/>
      <c r="RB19" s="344"/>
      <c r="RC19" s="344"/>
      <c r="RD19" s="344"/>
      <c r="RE19" s="344"/>
      <c r="RF19" s="344"/>
      <c r="RG19" s="344"/>
      <c r="RH19" s="344"/>
      <c r="RI19" s="344"/>
      <c r="RJ19" s="344"/>
      <c r="RK19" s="344"/>
      <c r="RL19" s="344"/>
      <c r="RM19" s="344"/>
      <c r="RN19" s="344"/>
      <c r="RO19" s="344"/>
      <c r="RP19" s="344"/>
      <c r="RQ19" s="344"/>
      <c r="RR19" s="344"/>
      <c r="RS19" s="344"/>
      <c r="RT19" s="344"/>
      <c r="RU19" s="344"/>
      <c r="RV19" s="344"/>
      <c r="RW19" s="344"/>
      <c r="RX19" s="344"/>
      <c r="RY19" s="344"/>
      <c r="RZ19" s="344"/>
      <c r="SA19" s="344"/>
      <c r="SB19" s="344"/>
      <c r="SC19" s="344"/>
      <c r="SD19" s="344"/>
      <c r="SE19" s="344"/>
      <c r="SF19" s="344"/>
      <c r="SG19" s="344"/>
      <c r="SH19" s="344"/>
      <c r="SI19" s="344"/>
      <c r="SJ19" s="344"/>
      <c r="SK19" s="344"/>
      <c r="SL19" s="344"/>
      <c r="SM19" s="344"/>
      <c r="SN19" s="344"/>
      <c r="SO19" s="344"/>
      <c r="SP19" s="344"/>
      <c r="SQ19" s="344"/>
      <c r="SR19" s="344"/>
      <c r="SS19" s="344"/>
      <c r="ST19" s="344"/>
      <c r="SU19" s="344"/>
      <c r="SV19" s="344"/>
      <c r="SW19" s="344"/>
      <c r="SX19" s="344"/>
      <c r="SY19" s="344"/>
      <c r="SZ19" s="344"/>
      <c r="TA19" s="344"/>
      <c r="TB19" s="344"/>
      <c r="TC19" s="344"/>
      <c r="TD19" s="344"/>
      <c r="TE19" s="344"/>
      <c r="TF19" s="344"/>
      <c r="TG19" s="344"/>
      <c r="TH19" s="344"/>
      <c r="TI19" s="344"/>
      <c r="TJ19" s="344"/>
      <c r="TK19" s="344"/>
      <c r="TL19" s="344"/>
      <c r="TM19" s="344"/>
      <c r="TN19" s="344"/>
      <c r="TO19" s="344"/>
      <c r="TP19" s="344"/>
      <c r="TQ19" s="344"/>
      <c r="TR19" s="344"/>
      <c r="TS19" s="344"/>
      <c r="TT19" s="344"/>
      <c r="TU19" s="344"/>
      <c r="TV19" s="344"/>
      <c r="TW19" s="344"/>
      <c r="TX19" s="344"/>
      <c r="TY19" s="344"/>
      <c r="TZ19" s="344"/>
      <c r="UA19" s="344"/>
      <c r="UB19" s="344"/>
      <c r="UC19" s="344"/>
      <c r="UD19" s="344"/>
      <c r="UE19" s="344"/>
      <c r="UF19" s="344"/>
      <c r="UG19" s="344"/>
      <c r="UH19" s="344"/>
      <c r="UI19" s="344"/>
      <c r="UJ19" s="344"/>
      <c r="UK19" s="344"/>
      <c r="UL19" s="344"/>
      <c r="UM19" s="344"/>
      <c r="UN19" s="344"/>
      <c r="UO19" s="344"/>
      <c r="UP19" s="344"/>
      <c r="UQ19" s="344"/>
      <c r="UR19" s="344"/>
      <c r="US19" s="344"/>
      <c r="UT19" s="344"/>
      <c r="UU19" s="344"/>
      <c r="UV19" s="344"/>
      <c r="UW19" s="344"/>
      <c r="UX19" s="344"/>
      <c r="UY19" s="344"/>
      <c r="UZ19" s="344"/>
      <c r="VA19" s="344"/>
      <c r="VB19" s="344"/>
      <c r="VC19" s="344"/>
      <c r="VD19" s="344"/>
      <c r="VE19" s="344"/>
      <c r="VF19" s="344"/>
      <c r="VG19" s="344"/>
      <c r="VH19" s="344"/>
      <c r="VI19" s="344"/>
      <c r="VJ19" s="344"/>
      <c r="VK19" s="344"/>
      <c r="VL19" s="344"/>
      <c r="VM19" s="344"/>
      <c r="VN19" s="344"/>
      <c r="VO19" s="344"/>
      <c r="VP19" s="344"/>
      <c r="VQ19" s="344"/>
      <c r="VR19" s="344"/>
      <c r="VS19" s="344"/>
      <c r="VT19" s="344"/>
      <c r="VU19" s="344"/>
      <c r="VV19" s="344"/>
      <c r="VW19" s="344"/>
      <c r="VX19" s="344"/>
      <c r="VY19" s="344"/>
      <c r="VZ19" s="344"/>
      <c r="WA19" s="344"/>
      <c r="WB19" s="344"/>
      <c r="WC19" s="344"/>
      <c r="WD19" s="344"/>
      <c r="WE19" s="344"/>
      <c r="WF19" s="344"/>
      <c r="WG19" s="344"/>
      <c r="WH19" s="344"/>
      <c r="WI19" s="344"/>
      <c r="WJ19" s="344"/>
      <c r="WK19" s="344"/>
      <c r="WL19" s="344"/>
      <c r="WM19" s="344"/>
      <c r="WN19" s="344"/>
      <c r="WO19" s="344"/>
      <c r="WP19" s="344"/>
      <c r="WQ19" s="344"/>
      <c r="WR19" s="344"/>
      <c r="WS19" s="344"/>
      <c r="WT19" s="344"/>
      <c r="WU19" s="344"/>
      <c r="WV19" s="344"/>
      <c r="WW19" s="344"/>
      <c r="WX19" s="344"/>
      <c r="WY19" s="344"/>
      <c r="WZ19" s="344"/>
      <c r="XA19" s="344"/>
      <c r="XB19" s="344"/>
      <c r="XC19" s="344"/>
      <c r="XD19" s="344"/>
      <c r="XE19" s="344"/>
      <c r="XF19" s="344"/>
      <c r="XG19" s="344"/>
      <c r="XH19" s="344"/>
      <c r="XI19" s="344"/>
      <c r="XJ19" s="344"/>
      <c r="XK19" s="344"/>
      <c r="XL19" s="344"/>
      <c r="XM19" s="344"/>
      <c r="XN19" s="344"/>
      <c r="XO19" s="344"/>
      <c r="XP19" s="344"/>
      <c r="XQ19" s="344"/>
      <c r="XR19" s="344"/>
      <c r="XS19" s="344"/>
      <c r="XT19" s="344"/>
      <c r="XU19" s="344"/>
      <c r="XV19" s="344"/>
      <c r="XW19" s="344"/>
      <c r="XX19" s="344"/>
      <c r="XY19" s="344"/>
      <c r="XZ19" s="344"/>
      <c r="YA19" s="344"/>
      <c r="YB19" s="344"/>
      <c r="YC19" s="344"/>
      <c r="YD19" s="344"/>
      <c r="YE19" s="344"/>
      <c r="YF19" s="344"/>
      <c r="YG19" s="344"/>
      <c r="YH19" s="344"/>
      <c r="YI19" s="344"/>
      <c r="YJ19" s="344"/>
      <c r="YK19" s="344"/>
      <c r="YL19" s="344"/>
      <c r="YM19" s="344"/>
      <c r="YN19" s="344"/>
      <c r="YO19" s="344"/>
      <c r="YP19" s="344"/>
      <c r="YQ19" s="344"/>
      <c r="YR19" s="344"/>
      <c r="YS19" s="344"/>
      <c r="YT19" s="344"/>
      <c r="YU19" s="344"/>
      <c r="YV19" s="344"/>
      <c r="YW19" s="344"/>
      <c r="YX19" s="344"/>
      <c r="YY19" s="344"/>
      <c r="YZ19" s="344"/>
      <c r="ZA19" s="344"/>
      <c r="ZB19" s="344"/>
      <c r="ZC19" s="344"/>
      <c r="ZD19" s="344"/>
      <c r="ZE19" s="344"/>
      <c r="ZF19" s="344"/>
      <c r="ZG19" s="344"/>
      <c r="ZH19" s="344"/>
      <c r="ZI19" s="344"/>
      <c r="ZJ19" s="344"/>
      <c r="ZK19" s="344"/>
      <c r="ZL19" s="344"/>
      <c r="ZM19" s="344"/>
      <c r="ZN19" s="344"/>
      <c r="ZO19" s="344"/>
      <c r="ZP19" s="344"/>
      <c r="ZQ19" s="344"/>
      <c r="ZR19" s="344"/>
      <c r="ZS19" s="344"/>
      <c r="ZT19" s="344"/>
      <c r="ZU19" s="344"/>
      <c r="ZV19" s="344"/>
      <c r="ZW19" s="344"/>
      <c r="ZX19" s="344"/>
      <c r="ZY19" s="344"/>
      <c r="ZZ19" s="344"/>
      <c r="AAA19" s="344"/>
      <c r="AAB19" s="344"/>
      <c r="AAC19" s="344"/>
      <c r="AAD19" s="344"/>
      <c r="AAE19" s="344"/>
      <c r="AAF19" s="344"/>
      <c r="AAG19" s="344"/>
      <c r="AAH19" s="344"/>
      <c r="AAI19" s="344"/>
      <c r="AAJ19" s="344"/>
      <c r="AAK19" s="344"/>
      <c r="AAL19" s="344"/>
      <c r="AAM19" s="344"/>
      <c r="AAN19" s="344"/>
      <c r="AAO19" s="344"/>
      <c r="AAP19" s="344"/>
      <c r="AAQ19" s="344"/>
      <c r="AAR19" s="344"/>
      <c r="AAS19" s="344"/>
      <c r="AAT19" s="344"/>
      <c r="AAU19" s="344"/>
      <c r="AAV19" s="344"/>
      <c r="AAW19" s="344"/>
      <c r="AAX19" s="344"/>
      <c r="AAY19" s="344"/>
      <c r="AAZ19" s="344"/>
      <c r="ABA19" s="344"/>
      <c r="ABB19" s="344"/>
      <c r="ABC19" s="344"/>
      <c r="ABD19" s="344"/>
      <c r="ABE19" s="344"/>
      <c r="ABF19" s="344"/>
      <c r="ABG19" s="344"/>
      <c r="ABH19" s="344"/>
      <c r="ABI19" s="344"/>
      <c r="ABJ19" s="344"/>
      <c r="ABK19" s="344"/>
      <c r="ABL19" s="344"/>
      <c r="ABM19" s="344"/>
      <c r="ABN19" s="344"/>
      <c r="ABO19" s="344"/>
      <c r="ABP19" s="344"/>
      <c r="ABQ19" s="344"/>
      <c r="ABR19" s="344"/>
      <c r="ABS19" s="344"/>
      <c r="ABT19" s="344"/>
      <c r="ABU19" s="344"/>
      <c r="ABV19" s="344"/>
      <c r="ABW19" s="344"/>
      <c r="ABX19" s="344"/>
      <c r="ABY19" s="344"/>
      <c r="ABZ19" s="344"/>
      <c r="ACA19" s="344"/>
      <c r="ACB19" s="344"/>
      <c r="ACC19" s="344"/>
      <c r="ACD19" s="344"/>
      <c r="ACE19" s="344"/>
      <c r="ACF19" s="344"/>
      <c r="ACG19" s="344"/>
      <c r="ACH19" s="344"/>
      <c r="ACI19" s="344"/>
      <c r="ACJ19" s="344"/>
      <c r="ACK19" s="344"/>
      <c r="ACL19" s="344"/>
      <c r="ACM19" s="344"/>
      <c r="ACN19" s="344"/>
      <c r="ACO19" s="344"/>
      <c r="ACP19" s="344"/>
      <c r="ACQ19" s="344"/>
      <c r="ACR19" s="344"/>
      <c r="ACS19" s="344"/>
      <c r="ACT19" s="344"/>
      <c r="ACU19" s="344"/>
      <c r="ACV19" s="344"/>
      <c r="ACW19" s="344"/>
      <c r="ACX19" s="344"/>
      <c r="ACY19" s="344"/>
      <c r="ACZ19" s="344"/>
      <c r="ADA19" s="344"/>
      <c r="ADB19" s="344"/>
      <c r="ADC19" s="344"/>
      <c r="ADD19" s="344"/>
      <c r="ADE19" s="344"/>
      <c r="ADF19" s="344"/>
      <c r="ADG19" s="344"/>
      <c r="ADH19" s="344"/>
      <c r="ADI19" s="344"/>
      <c r="ADJ19" s="344"/>
      <c r="ADK19" s="344"/>
      <c r="ADL19" s="344"/>
      <c r="ADM19" s="344"/>
      <c r="ADN19" s="344"/>
      <c r="ADO19" s="344"/>
      <c r="ADP19" s="344"/>
      <c r="ADQ19" s="344"/>
      <c r="ADR19" s="344"/>
      <c r="ADS19" s="344"/>
      <c r="ADT19" s="344"/>
      <c r="ADU19" s="344"/>
      <c r="ADV19" s="344"/>
      <c r="ADW19" s="344"/>
      <c r="ADX19" s="344"/>
      <c r="ADY19" s="344"/>
      <c r="ADZ19" s="344"/>
      <c r="AEA19" s="344"/>
      <c r="AEB19" s="344"/>
      <c r="AEC19" s="344"/>
      <c r="AED19" s="344"/>
      <c r="AEE19" s="344"/>
      <c r="AEF19" s="344"/>
      <c r="AEG19" s="344"/>
      <c r="AEH19" s="344"/>
      <c r="AEI19" s="344"/>
      <c r="AEJ19" s="344"/>
      <c r="AEK19" s="344"/>
      <c r="AEL19" s="344"/>
      <c r="AEM19" s="344"/>
      <c r="AEN19" s="344"/>
      <c r="AEO19" s="344"/>
      <c r="AEP19" s="344"/>
      <c r="AEQ19" s="344"/>
      <c r="AER19" s="344"/>
      <c r="AES19" s="344"/>
      <c r="AET19" s="344"/>
      <c r="AEU19" s="344"/>
      <c r="AEV19" s="344"/>
      <c r="AEW19" s="344"/>
      <c r="AEX19" s="344"/>
      <c r="AEY19" s="344"/>
      <c r="AEZ19" s="344"/>
      <c r="AFA19" s="344"/>
      <c r="AFB19" s="344"/>
      <c r="AFC19" s="344"/>
      <c r="AFD19" s="344"/>
      <c r="AFE19" s="344"/>
      <c r="AFF19" s="344"/>
      <c r="AFG19" s="344"/>
      <c r="AFH19" s="344"/>
      <c r="AFI19" s="344"/>
      <c r="AFJ19" s="344"/>
      <c r="AFK19" s="344"/>
      <c r="AFL19" s="344"/>
      <c r="AFM19" s="344"/>
      <c r="AFN19" s="344"/>
      <c r="AFO19" s="344"/>
      <c r="AFP19" s="344"/>
      <c r="AFQ19" s="344"/>
      <c r="AFR19" s="344"/>
      <c r="AFS19" s="344"/>
      <c r="AFT19" s="344"/>
      <c r="AFU19" s="344"/>
      <c r="AFV19" s="344"/>
      <c r="AFW19" s="344"/>
      <c r="AFX19" s="344"/>
      <c r="AFY19" s="344"/>
      <c r="AFZ19" s="344"/>
      <c r="AGA19" s="344"/>
      <c r="AGB19" s="344"/>
      <c r="AGC19" s="344"/>
      <c r="AGD19" s="344"/>
      <c r="AGE19" s="344"/>
      <c r="AGF19" s="344"/>
      <c r="AGG19" s="344"/>
      <c r="AGH19" s="344"/>
      <c r="AGI19" s="344"/>
      <c r="AGJ19" s="344"/>
      <c r="AGK19" s="344"/>
      <c r="AGL19" s="344"/>
      <c r="AGM19" s="344"/>
      <c r="AGN19" s="344"/>
      <c r="AGO19" s="344"/>
      <c r="AGP19" s="344"/>
      <c r="AGQ19" s="344"/>
      <c r="AGR19" s="344"/>
      <c r="AGS19" s="344"/>
      <c r="AGT19" s="344"/>
      <c r="AGU19" s="344"/>
      <c r="AGV19" s="344"/>
      <c r="AGW19" s="344"/>
      <c r="AGX19" s="344"/>
      <c r="AGY19" s="344"/>
      <c r="AGZ19" s="344"/>
      <c r="AHA19" s="344"/>
      <c r="AHB19" s="344"/>
      <c r="AHC19" s="344"/>
      <c r="AHD19" s="344"/>
      <c r="AHE19" s="344"/>
      <c r="AHF19" s="344"/>
      <c r="AHG19" s="344"/>
      <c r="AHH19" s="344"/>
      <c r="AHI19" s="344"/>
      <c r="AHJ19" s="344"/>
      <c r="AHK19" s="344"/>
      <c r="AHL19" s="344"/>
      <c r="AHM19" s="344"/>
      <c r="AHN19" s="344"/>
      <c r="AHO19" s="344"/>
      <c r="AHP19" s="344"/>
      <c r="AHQ19" s="344"/>
      <c r="AHR19" s="344"/>
      <c r="AHS19" s="344"/>
      <c r="AHT19" s="344"/>
      <c r="AHU19" s="344"/>
      <c r="AHV19" s="344"/>
      <c r="AHW19" s="344"/>
      <c r="AHX19" s="344"/>
      <c r="AHY19" s="344"/>
      <c r="AHZ19" s="344"/>
      <c r="AIA19" s="344"/>
      <c r="AIB19" s="344"/>
      <c r="AIC19" s="344"/>
      <c r="AID19" s="344"/>
      <c r="AIE19" s="344"/>
      <c r="AIF19" s="344"/>
      <c r="AIG19" s="344"/>
      <c r="AIH19" s="344"/>
      <c r="AII19" s="344"/>
      <c r="AIJ19" s="344"/>
      <c r="AIK19" s="344"/>
      <c r="AIL19" s="344"/>
      <c r="AIM19" s="344"/>
      <c r="AIN19" s="344"/>
      <c r="AIO19" s="344"/>
      <c r="AIP19" s="344"/>
      <c r="AIQ19" s="344"/>
      <c r="AIR19" s="344"/>
      <c r="AIS19" s="344"/>
      <c r="AIT19" s="344"/>
      <c r="AIU19" s="344"/>
      <c r="AIV19" s="344"/>
      <c r="AIW19" s="344"/>
      <c r="AIX19" s="344"/>
      <c r="AIY19" s="344"/>
      <c r="AIZ19" s="344"/>
      <c r="AJA19" s="344"/>
      <c r="AJB19" s="344"/>
      <c r="AJC19" s="344"/>
      <c r="AJD19" s="344"/>
      <c r="AJE19" s="344"/>
      <c r="AJF19" s="344"/>
      <c r="AJG19" s="344"/>
      <c r="AJH19" s="344"/>
      <c r="AJI19" s="344"/>
      <c r="AJJ19" s="344"/>
      <c r="AJK19" s="344"/>
      <c r="AJL19" s="344"/>
      <c r="AJM19" s="344"/>
      <c r="AJN19" s="344"/>
      <c r="AJO19" s="344"/>
      <c r="AJP19" s="344"/>
      <c r="AJQ19" s="344"/>
      <c r="AJR19" s="344"/>
      <c r="AJS19" s="344"/>
      <c r="AJT19" s="344"/>
      <c r="AJU19" s="344"/>
      <c r="AJV19" s="344"/>
      <c r="AJW19" s="344"/>
      <c r="AJX19" s="344"/>
      <c r="AJY19" s="344"/>
      <c r="AJZ19" s="344"/>
      <c r="AKA19" s="344"/>
      <c r="AKB19" s="344"/>
      <c r="AKC19" s="344"/>
      <c r="AKD19" s="344"/>
      <c r="AKE19" s="344"/>
      <c r="AKF19" s="344"/>
      <c r="AKG19" s="344"/>
      <c r="AKH19" s="344"/>
      <c r="AKI19" s="344"/>
      <c r="AKJ19" s="344"/>
      <c r="AKK19" s="344"/>
      <c r="AKL19" s="344"/>
      <c r="AKM19" s="344"/>
      <c r="AKN19" s="344"/>
      <c r="AKO19" s="344"/>
      <c r="AKP19" s="344"/>
      <c r="AKQ19" s="344"/>
      <c r="AKR19" s="344"/>
      <c r="AKS19" s="344"/>
      <c r="AKT19" s="344"/>
      <c r="AKU19" s="344"/>
      <c r="AKV19" s="344"/>
      <c r="AKW19" s="344"/>
      <c r="AKX19" s="344"/>
      <c r="AKY19" s="344"/>
      <c r="AKZ19" s="344"/>
      <c r="ALA19" s="344"/>
      <c r="ALB19" s="344"/>
      <c r="ALC19" s="344"/>
      <c r="ALD19" s="344"/>
      <c r="ALE19" s="344"/>
      <c r="ALF19" s="344"/>
      <c r="ALG19" s="344"/>
      <c r="ALH19" s="344"/>
      <c r="ALI19" s="344"/>
      <c r="ALJ19" s="344"/>
      <c r="ALK19" s="344"/>
      <c r="ALL19" s="344"/>
      <c r="ALM19" s="344"/>
      <c r="ALN19" s="344"/>
      <c r="ALO19" s="344"/>
      <c r="ALP19" s="344"/>
      <c r="ALQ19" s="344"/>
      <c r="ALR19" s="344"/>
      <c r="ALS19" s="344"/>
      <c r="ALT19" s="344"/>
      <c r="ALU19" s="344"/>
      <c r="ALV19" s="344"/>
      <c r="ALW19" s="344"/>
      <c r="ALX19" s="344"/>
      <c r="ALY19" s="344"/>
      <c r="ALZ19" s="344"/>
      <c r="AMA19" s="344"/>
      <c r="AMB19" s="344"/>
      <c r="AMC19" s="344"/>
      <c r="AMD19" s="344"/>
      <c r="AME19" s="344"/>
      <c r="AMF19" s="344"/>
      <c r="AMG19" s="344"/>
      <c r="AMH19" s="344"/>
      <c r="AMI19" s="344"/>
      <c r="AMJ19" s="344"/>
      <c r="AMK19" s="344"/>
      <c r="AML19" s="344"/>
      <c r="AMM19" s="344"/>
      <c r="AMN19" s="344"/>
      <c r="AMO19" s="344"/>
      <c r="AMP19" s="344"/>
      <c r="AMQ19" s="344"/>
      <c r="AMR19" s="344"/>
      <c r="AMS19" s="344"/>
      <c r="AMT19" s="344"/>
      <c r="AMU19" s="344"/>
      <c r="AMV19" s="344"/>
      <c r="AMW19" s="344"/>
      <c r="AMX19" s="344"/>
      <c r="AMY19" s="344"/>
      <c r="AMZ19" s="344"/>
      <c r="ANA19" s="344"/>
      <c r="ANB19" s="344"/>
      <c r="ANC19" s="344"/>
      <c r="AND19" s="344"/>
      <c r="ANE19" s="344"/>
      <c r="ANF19" s="344"/>
      <c r="ANG19" s="344"/>
      <c r="ANH19" s="344"/>
      <c r="ANI19" s="344"/>
      <c r="ANJ19" s="344"/>
      <c r="ANK19" s="344"/>
      <c r="ANL19" s="344"/>
      <c r="ANM19" s="344"/>
      <c r="ANN19" s="344"/>
      <c r="ANO19" s="344"/>
      <c r="ANP19" s="344"/>
      <c r="ANQ19" s="344"/>
      <c r="ANR19" s="344"/>
      <c r="ANS19" s="344"/>
      <c r="ANT19" s="344"/>
      <c r="ANU19" s="344"/>
      <c r="ANV19" s="344"/>
      <c r="ANW19" s="344"/>
      <c r="ANX19" s="344"/>
      <c r="ANY19" s="344"/>
      <c r="ANZ19" s="344"/>
      <c r="AOA19" s="344"/>
      <c r="AOB19" s="344"/>
      <c r="AOC19" s="344"/>
      <c r="AOD19" s="344"/>
      <c r="AOE19" s="344"/>
      <c r="AOF19" s="344"/>
      <c r="AOG19" s="344"/>
      <c r="AOH19" s="344"/>
      <c r="AOI19" s="344"/>
      <c r="AOJ19" s="344"/>
      <c r="AOK19" s="344"/>
      <c r="AOL19" s="344"/>
      <c r="AOM19" s="344"/>
      <c r="AON19" s="344"/>
      <c r="AOO19" s="344"/>
      <c r="AOP19" s="344"/>
      <c r="AOQ19" s="344"/>
      <c r="AOR19" s="344"/>
      <c r="AOS19" s="344"/>
      <c r="AOT19" s="344"/>
      <c r="AOU19" s="344"/>
      <c r="AOV19" s="344"/>
      <c r="AOW19" s="344"/>
      <c r="AOX19" s="344"/>
      <c r="AOY19" s="344"/>
      <c r="AOZ19" s="344"/>
      <c r="APA19" s="344"/>
      <c r="APB19" s="344"/>
      <c r="APC19" s="344"/>
      <c r="APD19" s="344"/>
      <c r="APE19" s="344"/>
      <c r="APF19" s="344"/>
      <c r="APG19" s="344"/>
      <c r="APH19" s="344"/>
      <c r="API19" s="344"/>
      <c r="APJ19" s="344"/>
      <c r="APK19" s="344"/>
      <c r="APL19" s="344"/>
      <c r="APM19" s="344"/>
      <c r="APN19" s="344"/>
      <c r="APO19" s="344"/>
      <c r="APP19" s="344"/>
      <c r="APQ19" s="344"/>
      <c r="APR19" s="344"/>
      <c r="APS19" s="344"/>
      <c r="APT19" s="344"/>
      <c r="APU19" s="344"/>
      <c r="APV19" s="344"/>
      <c r="APW19" s="344"/>
      <c r="APX19" s="344"/>
      <c r="APY19" s="344"/>
      <c r="APZ19" s="344"/>
      <c r="AQA19" s="344"/>
      <c r="AQB19" s="344"/>
      <c r="AQC19" s="344"/>
      <c r="AQD19" s="344"/>
      <c r="AQE19" s="344"/>
      <c r="AQF19" s="344"/>
      <c r="AQG19" s="344"/>
      <c r="AQH19" s="344"/>
      <c r="AQI19" s="344"/>
      <c r="AQJ19" s="344"/>
      <c r="AQK19" s="344"/>
      <c r="AQL19" s="344"/>
      <c r="AQM19" s="344"/>
      <c r="AQN19" s="344"/>
      <c r="AQO19" s="344"/>
      <c r="AQP19" s="344"/>
      <c r="AQQ19" s="344"/>
      <c r="AQR19" s="344"/>
      <c r="AQS19" s="344"/>
      <c r="AQT19" s="344"/>
      <c r="AQU19" s="344"/>
      <c r="AQV19" s="344"/>
      <c r="AQW19" s="344"/>
      <c r="AQX19" s="344"/>
      <c r="AQY19" s="344"/>
      <c r="AQZ19" s="344"/>
      <c r="ARA19" s="344"/>
      <c r="ARB19" s="344"/>
      <c r="ARC19" s="344"/>
      <c r="ARD19" s="344"/>
      <c r="ARE19" s="344"/>
      <c r="ARF19" s="344"/>
      <c r="ARG19" s="344"/>
      <c r="ARH19" s="344"/>
      <c r="ARI19" s="344"/>
      <c r="ARJ19" s="344"/>
      <c r="ARK19" s="344"/>
      <c r="ARL19" s="344"/>
      <c r="ARM19" s="344"/>
      <c r="ARN19" s="344"/>
      <c r="ARO19" s="344"/>
      <c r="ARP19" s="344"/>
      <c r="ARQ19" s="344"/>
      <c r="ARR19" s="344"/>
      <c r="ARS19" s="344"/>
      <c r="ART19" s="344"/>
      <c r="ARU19" s="344"/>
      <c r="ARV19" s="344"/>
      <c r="ARW19" s="344"/>
      <c r="ARX19" s="344"/>
      <c r="ARY19" s="344"/>
      <c r="ARZ19" s="344"/>
      <c r="ASA19" s="344"/>
      <c r="ASB19" s="344"/>
      <c r="ASC19" s="344"/>
      <c r="ASD19" s="344"/>
      <c r="ASE19" s="344"/>
      <c r="ASF19" s="344"/>
      <c r="ASG19" s="344"/>
      <c r="ASH19" s="344"/>
      <c r="ASI19" s="344"/>
      <c r="ASJ19" s="344"/>
      <c r="ASK19" s="344"/>
      <c r="ASL19" s="344"/>
      <c r="ASM19" s="344"/>
      <c r="ASN19" s="344"/>
      <c r="ASO19" s="344"/>
      <c r="ASP19" s="344"/>
      <c r="ASQ19" s="344"/>
      <c r="ASR19" s="344"/>
      <c r="ASS19" s="344"/>
      <c r="AST19" s="344"/>
      <c r="ASU19" s="344"/>
      <c r="ASV19" s="344"/>
      <c r="ASW19" s="344"/>
      <c r="ASX19" s="344"/>
      <c r="ASY19" s="344"/>
      <c r="ASZ19" s="344"/>
      <c r="ATA19" s="344"/>
      <c r="ATB19" s="344"/>
      <c r="ATC19" s="344"/>
      <c r="ATD19" s="344"/>
      <c r="ATE19" s="344"/>
      <c r="ATF19" s="344"/>
      <c r="ATG19" s="344"/>
      <c r="ATH19" s="344"/>
      <c r="ATI19" s="344"/>
      <c r="ATJ19" s="344"/>
      <c r="ATK19" s="344"/>
      <c r="ATL19" s="344"/>
      <c r="ATM19" s="344"/>
      <c r="ATN19" s="344"/>
      <c r="ATO19" s="344"/>
      <c r="ATP19" s="344"/>
      <c r="ATQ19" s="344"/>
      <c r="ATR19" s="344"/>
      <c r="ATS19" s="344"/>
      <c r="ATT19" s="344"/>
      <c r="ATU19" s="344"/>
      <c r="ATV19" s="344"/>
      <c r="ATW19" s="344"/>
      <c r="ATX19" s="344"/>
      <c r="ATY19" s="344"/>
      <c r="ATZ19" s="344"/>
      <c r="AUA19" s="344"/>
      <c r="AUB19" s="344"/>
      <c r="AUC19" s="344"/>
      <c r="AUD19" s="344"/>
      <c r="AUE19" s="344"/>
      <c r="AUF19" s="344"/>
      <c r="AUG19" s="344"/>
      <c r="AUH19" s="344"/>
      <c r="AUI19" s="344"/>
      <c r="AUJ19" s="344"/>
      <c r="AUK19" s="344"/>
      <c r="AUL19" s="344"/>
      <c r="AUM19" s="344"/>
      <c r="AUN19" s="344"/>
      <c r="AUO19" s="344"/>
      <c r="AUP19" s="344"/>
      <c r="AUQ19" s="344"/>
      <c r="AUR19" s="344"/>
      <c r="AUS19" s="344"/>
      <c r="AUT19" s="344"/>
      <c r="AUU19" s="344"/>
      <c r="AUV19" s="344"/>
      <c r="AUW19" s="344"/>
      <c r="AUX19" s="344"/>
      <c r="AUY19" s="344"/>
      <c r="AUZ19" s="344"/>
      <c r="AVA19" s="344"/>
      <c r="AVB19" s="344"/>
      <c r="AVC19" s="344"/>
      <c r="AVD19" s="344"/>
      <c r="AVE19" s="344"/>
      <c r="AVF19" s="344"/>
      <c r="AVG19" s="344"/>
      <c r="AVH19" s="344"/>
      <c r="AVI19" s="344"/>
      <c r="AVJ19" s="344"/>
      <c r="AVK19" s="344"/>
      <c r="AVL19" s="344"/>
      <c r="AVM19" s="344"/>
      <c r="AVN19" s="344"/>
      <c r="AVO19" s="344"/>
      <c r="AVP19" s="344"/>
      <c r="AVQ19" s="344"/>
      <c r="AVR19" s="344"/>
      <c r="AVS19" s="344"/>
      <c r="AVT19" s="344"/>
      <c r="AVU19" s="344"/>
      <c r="AVV19" s="344"/>
      <c r="AVW19" s="344"/>
      <c r="AVX19" s="344"/>
      <c r="AVY19" s="344"/>
      <c r="AVZ19" s="344"/>
      <c r="AWA19" s="344"/>
      <c r="AWB19" s="344"/>
      <c r="AWC19" s="344"/>
      <c r="AWD19" s="344"/>
      <c r="AWE19" s="344"/>
      <c r="AWF19" s="344"/>
      <c r="AWG19" s="344"/>
      <c r="AWH19" s="344"/>
      <c r="AWI19" s="344"/>
      <c r="AWJ19" s="344"/>
      <c r="AWK19" s="344"/>
      <c r="AWL19" s="344"/>
      <c r="AWM19" s="344"/>
      <c r="AWN19" s="344"/>
      <c r="AWO19" s="344"/>
      <c r="AWP19" s="344"/>
      <c r="AWQ19" s="344"/>
      <c r="AWR19" s="344"/>
      <c r="AWS19" s="344"/>
      <c r="AWT19" s="344"/>
      <c r="AWU19" s="344"/>
      <c r="AWV19" s="344"/>
      <c r="AWW19" s="344"/>
      <c r="AWX19" s="344"/>
      <c r="AWY19" s="344"/>
      <c r="AWZ19" s="344"/>
      <c r="AXA19" s="344"/>
      <c r="AXB19" s="344"/>
      <c r="AXC19" s="344"/>
      <c r="AXD19" s="344"/>
      <c r="AXE19" s="344"/>
      <c r="AXF19" s="344"/>
      <c r="AXG19" s="344"/>
      <c r="AXH19" s="344"/>
      <c r="AXI19" s="344"/>
      <c r="AXJ19" s="344"/>
      <c r="AXK19" s="344"/>
      <c r="AXL19" s="344"/>
      <c r="AXM19" s="344"/>
      <c r="AXN19" s="344"/>
      <c r="AXO19" s="344"/>
      <c r="AXP19" s="344"/>
      <c r="AXQ19" s="344"/>
      <c r="AXR19" s="344"/>
      <c r="AXS19" s="344"/>
      <c r="AXT19" s="344"/>
      <c r="AXU19" s="344"/>
      <c r="AXV19" s="344"/>
      <c r="AXW19" s="344"/>
      <c r="AXX19" s="344"/>
      <c r="AXY19" s="344"/>
      <c r="AXZ19" s="344"/>
      <c r="AYA19" s="344"/>
      <c r="AYB19" s="344"/>
      <c r="AYC19" s="344"/>
      <c r="AYD19" s="344"/>
      <c r="AYE19" s="344"/>
      <c r="AYF19" s="344"/>
      <c r="AYG19" s="344"/>
      <c r="AYH19" s="344"/>
      <c r="AYI19" s="344"/>
      <c r="AYJ19" s="344"/>
      <c r="AYK19" s="344"/>
      <c r="AYL19" s="344"/>
      <c r="AYM19" s="344"/>
      <c r="AYN19" s="344"/>
      <c r="AYO19" s="344"/>
      <c r="AYP19" s="344"/>
      <c r="AYQ19" s="344"/>
      <c r="AYR19" s="344"/>
      <c r="AYS19" s="344"/>
      <c r="AYT19" s="344"/>
      <c r="AYU19" s="344"/>
      <c r="AYV19" s="344"/>
      <c r="AYW19" s="344"/>
      <c r="AYX19" s="344"/>
      <c r="AYY19" s="344"/>
      <c r="AYZ19" s="344"/>
      <c r="AZA19" s="344"/>
      <c r="AZB19" s="344"/>
      <c r="AZC19" s="344"/>
      <c r="AZD19" s="344"/>
      <c r="AZE19" s="344"/>
      <c r="AZF19" s="344"/>
      <c r="AZG19" s="344"/>
      <c r="AZH19" s="344"/>
      <c r="AZI19" s="344"/>
      <c r="AZJ19" s="344"/>
      <c r="AZK19" s="344"/>
      <c r="AZL19" s="344"/>
      <c r="AZM19" s="344"/>
      <c r="AZN19" s="344"/>
      <c r="AZO19" s="344"/>
      <c r="AZP19" s="344"/>
      <c r="AZQ19" s="344"/>
      <c r="AZR19" s="344"/>
      <c r="AZS19" s="344"/>
      <c r="AZT19" s="344"/>
      <c r="AZU19" s="344"/>
      <c r="AZV19" s="344"/>
      <c r="AZW19" s="344"/>
      <c r="AZX19" s="344"/>
      <c r="AZY19" s="344"/>
      <c r="AZZ19" s="344"/>
      <c r="BAA19" s="344"/>
      <c r="BAB19" s="344"/>
      <c r="BAC19" s="344"/>
      <c r="BAD19" s="344"/>
      <c r="BAE19" s="344"/>
      <c r="BAF19" s="344"/>
      <c r="BAG19" s="344"/>
      <c r="BAH19" s="344"/>
      <c r="BAI19" s="344"/>
      <c r="BAJ19" s="344"/>
      <c r="BAK19" s="344"/>
      <c r="BAL19" s="344"/>
      <c r="BAM19" s="344"/>
      <c r="BAN19" s="344"/>
      <c r="BAO19" s="344"/>
      <c r="BAP19" s="344"/>
      <c r="BAQ19" s="344"/>
      <c r="BAR19" s="344"/>
      <c r="BAS19" s="344"/>
      <c r="BAT19" s="344"/>
      <c r="BAU19" s="344"/>
      <c r="BAV19" s="344"/>
      <c r="BAW19" s="344"/>
      <c r="BAX19" s="344"/>
      <c r="BAY19" s="344"/>
      <c r="BAZ19" s="344"/>
      <c r="BBA19" s="344"/>
      <c r="BBB19" s="344"/>
      <c r="BBC19" s="344"/>
      <c r="BBD19" s="344"/>
      <c r="BBE19" s="344"/>
      <c r="BBF19" s="344"/>
      <c r="BBG19" s="344"/>
      <c r="BBH19" s="344"/>
      <c r="BBI19" s="344"/>
      <c r="BBJ19" s="344"/>
      <c r="BBK19" s="344"/>
      <c r="BBL19" s="344"/>
      <c r="BBM19" s="344"/>
      <c r="BBN19" s="344"/>
      <c r="BBO19" s="344"/>
      <c r="BBP19" s="344"/>
      <c r="BBQ19" s="344"/>
      <c r="BBR19" s="344"/>
      <c r="BBS19" s="344"/>
      <c r="BBT19" s="344"/>
      <c r="BBU19" s="344"/>
      <c r="BBV19" s="344"/>
      <c r="BBW19" s="344"/>
      <c r="BBX19" s="344"/>
      <c r="BBY19" s="344"/>
      <c r="BBZ19" s="344"/>
      <c r="BCA19" s="344"/>
      <c r="BCB19" s="344"/>
      <c r="BCC19" s="344"/>
      <c r="BCD19" s="344"/>
      <c r="BCE19" s="344"/>
      <c r="BCF19" s="344"/>
      <c r="BCG19" s="344"/>
      <c r="BCH19" s="344"/>
      <c r="BCI19" s="344"/>
      <c r="BCJ19" s="344"/>
      <c r="BCK19" s="344"/>
      <c r="BCL19" s="344"/>
      <c r="BCM19" s="344"/>
      <c r="BCN19" s="344"/>
      <c r="BCO19" s="344"/>
      <c r="BCP19" s="344"/>
      <c r="BCQ19" s="344"/>
      <c r="BCR19" s="344"/>
      <c r="BCS19" s="344"/>
      <c r="BCT19" s="344"/>
      <c r="BCU19" s="344"/>
      <c r="BCV19" s="344"/>
      <c r="BCW19" s="344"/>
      <c r="BCX19" s="344"/>
      <c r="BCY19" s="344"/>
      <c r="BCZ19" s="344"/>
      <c r="BDA19" s="344"/>
      <c r="BDB19" s="344"/>
      <c r="BDC19" s="344"/>
      <c r="BDD19" s="344"/>
      <c r="BDE19" s="344"/>
      <c r="BDF19" s="344"/>
      <c r="BDG19" s="344"/>
      <c r="BDH19" s="344"/>
      <c r="BDI19" s="344"/>
      <c r="BDJ19" s="344"/>
      <c r="BDK19" s="344"/>
      <c r="BDL19" s="344"/>
      <c r="BDM19" s="344"/>
      <c r="BDN19" s="344"/>
      <c r="BDO19" s="344"/>
      <c r="BDP19" s="344"/>
      <c r="BDQ19" s="344"/>
      <c r="BDR19" s="344"/>
      <c r="BDS19" s="344"/>
      <c r="BDT19" s="344"/>
      <c r="BDU19" s="344"/>
      <c r="BDV19" s="344"/>
      <c r="BDW19" s="344"/>
      <c r="BDX19" s="344"/>
      <c r="BDY19" s="344"/>
      <c r="BDZ19" s="344"/>
      <c r="BEA19" s="344"/>
      <c r="BEB19" s="344"/>
      <c r="BEC19" s="344"/>
      <c r="BED19" s="344"/>
      <c r="BEE19" s="344"/>
      <c r="BEF19" s="344"/>
      <c r="BEG19" s="344"/>
      <c r="BEH19" s="344"/>
      <c r="BEI19" s="344"/>
      <c r="BEJ19" s="344"/>
      <c r="BEK19" s="344"/>
      <c r="BEL19" s="344"/>
      <c r="BEM19" s="344"/>
      <c r="BEN19" s="344"/>
      <c r="BEO19" s="344"/>
      <c r="BEP19" s="344"/>
      <c r="BEQ19" s="344"/>
      <c r="BER19" s="344"/>
      <c r="BES19" s="344"/>
      <c r="BET19" s="344"/>
      <c r="BEU19" s="344"/>
      <c r="BEV19" s="344"/>
      <c r="BEW19" s="344"/>
      <c r="BEX19" s="344"/>
      <c r="BEY19" s="344"/>
      <c r="BEZ19" s="344"/>
      <c r="BFA19" s="344"/>
      <c r="BFB19" s="344"/>
      <c r="BFC19" s="344"/>
      <c r="BFD19" s="344"/>
      <c r="BFE19" s="344"/>
      <c r="BFF19" s="344"/>
      <c r="BFG19" s="344"/>
      <c r="BFH19" s="344"/>
      <c r="BFI19" s="344"/>
      <c r="BFJ19" s="344"/>
      <c r="BFK19" s="344"/>
      <c r="BFL19" s="344"/>
      <c r="BFM19" s="344"/>
      <c r="BFN19" s="344"/>
      <c r="BFO19" s="344"/>
      <c r="BFP19" s="344"/>
      <c r="BFQ19" s="344"/>
      <c r="BFR19" s="344"/>
      <c r="BFS19" s="344"/>
      <c r="BFT19" s="344"/>
      <c r="BFU19" s="344"/>
      <c r="BFV19" s="344"/>
      <c r="BFW19" s="344"/>
      <c r="BFX19" s="344"/>
      <c r="BFY19" s="344"/>
      <c r="BFZ19" s="344"/>
      <c r="BGA19" s="344"/>
      <c r="BGB19" s="344"/>
      <c r="BGC19" s="344"/>
      <c r="BGD19" s="344"/>
      <c r="BGE19" s="344"/>
      <c r="BGF19" s="344"/>
      <c r="BGG19" s="344"/>
      <c r="BGH19" s="344"/>
      <c r="BGI19" s="344"/>
      <c r="BGJ19" s="344"/>
      <c r="BGK19" s="344"/>
      <c r="BGL19" s="344"/>
      <c r="BGM19" s="344"/>
      <c r="BGN19" s="344"/>
      <c r="BGO19" s="344"/>
      <c r="BGP19" s="344"/>
      <c r="BGQ19" s="344"/>
      <c r="BGR19" s="344"/>
      <c r="BGS19" s="344"/>
      <c r="BGT19" s="344"/>
      <c r="BGU19" s="344"/>
      <c r="BGV19" s="344"/>
      <c r="BGW19" s="344"/>
      <c r="BGX19" s="344"/>
      <c r="BGY19" s="344"/>
      <c r="BGZ19" s="344"/>
      <c r="BHA19" s="344"/>
      <c r="BHB19" s="344"/>
      <c r="BHC19" s="344"/>
      <c r="BHD19" s="344"/>
      <c r="BHE19" s="344"/>
      <c r="BHF19" s="344"/>
      <c r="BHG19" s="344"/>
      <c r="BHH19" s="344"/>
      <c r="BHI19" s="344"/>
      <c r="BHJ19" s="344"/>
      <c r="BHK19" s="344"/>
      <c r="BHL19" s="344"/>
      <c r="BHM19" s="344"/>
      <c r="BHN19" s="344"/>
      <c r="BHO19" s="344"/>
      <c r="BHP19" s="344"/>
      <c r="BHQ19" s="344"/>
      <c r="BHR19" s="344"/>
      <c r="BHS19" s="344"/>
      <c r="BHT19" s="344"/>
      <c r="BHU19" s="344"/>
      <c r="BHV19" s="344"/>
      <c r="BHW19" s="344"/>
      <c r="BHX19" s="344"/>
      <c r="BHY19" s="344"/>
      <c r="BHZ19" s="344"/>
      <c r="BIA19" s="344"/>
      <c r="BIB19" s="344"/>
      <c r="BIC19" s="344"/>
      <c r="BID19" s="344"/>
      <c r="BIE19" s="344"/>
      <c r="BIF19" s="344"/>
      <c r="BIG19" s="344"/>
      <c r="BIH19" s="344"/>
      <c r="BII19" s="344"/>
      <c r="BIJ19" s="344"/>
      <c r="BIK19" s="344"/>
      <c r="BIL19" s="344"/>
      <c r="BIM19" s="344"/>
      <c r="BIN19" s="344"/>
      <c r="BIO19" s="344"/>
      <c r="BIP19" s="344"/>
      <c r="BIQ19" s="344"/>
      <c r="BIR19" s="344"/>
      <c r="BIS19" s="344"/>
      <c r="BIT19" s="344"/>
      <c r="BIU19" s="344"/>
      <c r="BIV19" s="344"/>
      <c r="BIW19" s="344"/>
      <c r="BIX19" s="344"/>
      <c r="BIY19" s="344"/>
      <c r="BIZ19" s="344"/>
      <c r="BJA19" s="344"/>
      <c r="BJB19" s="344"/>
      <c r="BJC19" s="344"/>
      <c r="BJD19" s="344"/>
      <c r="BJE19" s="344"/>
      <c r="BJF19" s="344"/>
      <c r="BJG19" s="344"/>
      <c r="BJH19" s="344"/>
      <c r="BJI19" s="344"/>
      <c r="BJJ19" s="344"/>
      <c r="BJK19" s="344"/>
      <c r="BJL19" s="344"/>
      <c r="BJM19" s="344"/>
      <c r="BJN19" s="344"/>
      <c r="BJO19" s="344"/>
      <c r="BJP19" s="344"/>
      <c r="BJQ19" s="344"/>
      <c r="BJR19" s="344"/>
      <c r="BJS19" s="344"/>
      <c r="BJT19" s="344"/>
      <c r="BJU19" s="344"/>
      <c r="BJV19" s="344"/>
      <c r="BJW19" s="344"/>
      <c r="BJX19" s="344"/>
      <c r="BJY19" s="344"/>
      <c r="BJZ19" s="344"/>
      <c r="BKA19" s="344"/>
      <c r="BKB19" s="344"/>
      <c r="BKC19" s="344"/>
      <c r="BKD19" s="344"/>
      <c r="BKE19" s="344"/>
      <c r="BKF19" s="344"/>
      <c r="BKG19" s="344"/>
      <c r="BKH19" s="344"/>
      <c r="BKI19" s="344"/>
      <c r="BKJ19" s="344"/>
      <c r="BKK19" s="344"/>
      <c r="BKL19" s="344"/>
      <c r="BKM19" s="344"/>
      <c r="BKN19" s="344"/>
      <c r="BKO19" s="344"/>
      <c r="BKP19" s="344"/>
      <c r="BKQ19" s="344"/>
      <c r="BKR19" s="344"/>
      <c r="BKS19" s="344"/>
      <c r="BKT19" s="344"/>
      <c r="BKU19" s="344"/>
      <c r="BKV19" s="344"/>
      <c r="BKW19" s="344"/>
      <c r="BKX19" s="344"/>
      <c r="BKY19" s="344"/>
      <c r="BKZ19" s="344"/>
      <c r="BLA19" s="344"/>
      <c r="BLB19" s="344"/>
      <c r="BLC19" s="344"/>
      <c r="BLD19" s="344"/>
      <c r="BLE19" s="344"/>
      <c r="BLF19" s="344"/>
      <c r="BLG19" s="344"/>
      <c r="BLH19" s="344"/>
      <c r="BLI19" s="344"/>
      <c r="BLJ19" s="344"/>
      <c r="BLK19" s="344"/>
      <c r="BLL19" s="344"/>
      <c r="BLM19" s="344"/>
      <c r="BLN19" s="344"/>
      <c r="BLO19" s="344"/>
      <c r="BLP19" s="344"/>
      <c r="BLQ19" s="344"/>
      <c r="BLR19" s="344"/>
      <c r="BLS19" s="344"/>
      <c r="BLT19" s="344"/>
      <c r="BLU19" s="344"/>
      <c r="BLV19" s="344"/>
      <c r="BLW19" s="344"/>
      <c r="BLX19" s="344"/>
      <c r="BLY19" s="344"/>
      <c r="BLZ19" s="344"/>
      <c r="BMA19" s="344"/>
      <c r="BMB19" s="344"/>
      <c r="BMC19" s="344"/>
      <c r="BMD19" s="344"/>
      <c r="BME19" s="344"/>
      <c r="BMF19" s="344"/>
      <c r="BMG19" s="344"/>
      <c r="BMH19" s="344"/>
      <c r="BMI19" s="344"/>
      <c r="BMJ19" s="344"/>
      <c r="BMK19" s="344"/>
      <c r="BML19" s="344"/>
      <c r="BMM19" s="344"/>
      <c r="BMN19" s="344"/>
      <c r="BMO19" s="344"/>
      <c r="BMP19" s="344"/>
      <c r="BMQ19" s="344"/>
      <c r="BMR19" s="344"/>
      <c r="BMS19" s="344"/>
      <c r="BMT19" s="344"/>
      <c r="BMU19" s="344"/>
      <c r="BMV19" s="344"/>
      <c r="BMW19" s="344"/>
      <c r="BMX19" s="344"/>
      <c r="BMY19" s="344"/>
      <c r="BMZ19" s="344"/>
      <c r="BNA19" s="344"/>
      <c r="BNB19" s="344"/>
      <c r="BNC19" s="344"/>
      <c r="BND19" s="344"/>
      <c r="BNE19" s="344"/>
      <c r="BNF19" s="344"/>
      <c r="BNG19" s="344"/>
      <c r="BNH19" s="344"/>
      <c r="BNI19" s="344"/>
      <c r="BNJ19" s="344"/>
      <c r="BNK19" s="344"/>
      <c r="BNL19" s="344"/>
      <c r="BNM19" s="344"/>
      <c r="BNN19" s="344"/>
      <c r="BNO19" s="344"/>
      <c r="BNP19" s="344"/>
      <c r="BNQ19" s="344"/>
      <c r="BNR19" s="344"/>
      <c r="BNS19" s="344"/>
      <c r="BNT19" s="344"/>
      <c r="BNU19" s="344"/>
      <c r="BNV19" s="344"/>
      <c r="BNW19" s="344"/>
      <c r="BNX19" s="344"/>
      <c r="BNY19" s="344"/>
      <c r="BNZ19" s="344"/>
      <c r="BOA19" s="344"/>
      <c r="BOB19" s="344"/>
      <c r="BOC19" s="344"/>
      <c r="BOD19" s="344"/>
      <c r="BOE19" s="344"/>
      <c r="BOF19" s="344"/>
      <c r="BOG19" s="344"/>
      <c r="BOH19" s="344"/>
      <c r="BOI19" s="344"/>
      <c r="BOJ19" s="344"/>
      <c r="BOK19" s="344"/>
      <c r="BOL19" s="344"/>
      <c r="BOM19" s="344"/>
      <c r="BON19" s="344"/>
      <c r="BOO19" s="344"/>
      <c r="BOP19" s="344"/>
      <c r="BOQ19" s="344"/>
      <c r="BOR19" s="344"/>
      <c r="BOS19" s="344"/>
      <c r="BOT19" s="344"/>
      <c r="BOU19" s="344"/>
      <c r="BOV19" s="344"/>
      <c r="BOW19" s="344"/>
      <c r="BOX19" s="344"/>
      <c r="BOY19" s="344"/>
      <c r="BOZ19" s="344"/>
      <c r="BPA19" s="344"/>
      <c r="BPB19" s="344"/>
      <c r="BPC19" s="344"/>
      <c r="BPD19" s="344"/>
      <c r="BPE19" s="344"/>
      <c r="BPF19" s="344"/>
      <c r="BPG19" s="344"/>
      <c r="BPH19" s="344"/>
      <c r="BPI19" s="344"/>
      <c r="BPJ19" s="344"/>
      <c r="BPK19" s="344"/>
      <c r="BPL19" s="344"/>
      <c r="BPM19" s="344"/>
      <c r="BPN19" s="344"/>
      <c r="BPO19" s="344"/>
      <c r="BPP19" s="344"/>
      <c r="BPQ19" s="344"/>
      <c r="BPR19" s="344"/>
      <c r="BPS19" s="344"/>
      <c r="BPT19" s="344"/>
      <c r="BPU19" s="344"/>
      <c r="BPV19" s="344"/>
      <c r="BPW19" s="344"/>
      <c r="BPX19" s="344"/>
      <c r="BPY19" s="344"/>
      <c r="BPZ19" s="344"/>
      <c r="BQA19" s="344"/>
      <c r="BQB19" s="344"/>
      <c r="BQC19" s="344"/>
      <c r="BQD19" s="344"/>
      <c r="BQE19" s="344"/>
      <c r="BQF19" s="344"/>
      <c r="BQG19" s="344"/>
      <c r="BQH19" s="344"/>
      <c r="BQI19" s="344"/>
      <c r="BQJ19" s="344"/>
      <c r="BQK19" s="344"/>
      <c r="BQL19" s="344"/>
      <c r="BQM19" s="344"/>
      <c r="BQN19" s="344"/>
      <c r="BQO19" s="344"/>
      <c r="BQP19" s="344"/>
      <c r="BQQ19" s="344"/>
      <c r="BQR19" s="344"/>
      <c r="BQS19" s="344"/>
      <c r="BQT19" s="344"/>
      <c r="BQU19" s="344"/>
      <c r="BQV19" s="344"/>
      <c r="BQW19" s="344"/>
      <c r="BQX19" s="344"/>
      <c r="BQY19" s="344"/>
      <c r="BQZ19" s="344"/>
      <c r="BRA19" s="344"/>
      <c r="BRB19" s="344"/>
      <c r="BRC19" s="344"/>
      <c r="BRD19" s="344"/>
      <c r="BRE19" s="344"/>
      <c r="BRF19" s="344"/>
      <c r="BRG19" s="344"/>
      <c r="BRH19" s="344"/>
      <c r="BRI19" s="344"/>
      <c r="BRJ19" s="344"/>
      <c r="BRK19" s="344"/>
      <c r="BRL19" s="344"/>
      <c r="BRM19" s="344"/>
      <c r="BRN19" s="344"/>
      <c r="BRO19" s="344"/>
      <c r="BRP19" s="344"/>
      <c r="BRQ19" s="344"/>
      <c r="BRR19" s="344"/>
      <c r="BRS19" s="344"/>
      <c r="BRT19" s="344"/>
      <c r="BRU19" s="344"/>
      <c r="BRV19" s="344"/>
      <c r="BRW19" s="344"/>
      <c r="BRX19" s="344"/>
      <c r="BRY19" s="344"/>
      <c r="BRZ19" s="344"/>
      <c r="BSA19" s="344"/>
      <c r="BSB19" s="344"/>
      <c r="BSC19" s="344"/>
      <c r="BSD19" s="344"/>
      <c r="BSE19" s="344"/>
      <c r="BSF19" s="344"/>
      <c r="BSG19" s="344"/>
      <c r="BSH19" s="344"/>
      <c r="BSI19" s="344"/>
      <c r="BSJ19" s="344"/>
      <c r="BSK19" s="344"/>
      <c r="BSL19" s="344"/>
      <c r="BSM19" s="344"/>
      <c r="BSN19" s="344"/>
      <c r="BSO19" s="344"/>
      <c r="BSP19" s="344"/>
      <c r="BSQ19" s="344"/>
      <c r="BSR19" s="344"/>
      <c r="BSS19" s="344"/>
      <c r="BST19" s="344"/>
      <c r="BSU19" s="344"/>
      <c r="BSV19" s="344"/>
      <c r="BSW19" s="344"/>
      <c r="BSX19" s="344"/>
      <c r="BSY19" s="344"/>
      <c r="BSZ19" s="344"/>
      <c r="BTA19" s="344"/>
      <c r="BTB19" s="344"/>
      <c r="BTC19" s="344"/>
      <c r="BTD19" s="344"/>
      <c r="BTE19" s="344"/>
      <c r="BTF19" s="344"/>
      <c r="BTG19" s="344"/>
      <c r="BTH19" s="344"/>
      <c r="BTI19" s="344"/>
      <c r="BTJ19" s="344"/>
      <c r="BTK19" s="344"/>
      <c r="BTL19" s="344"/>
      <c r="BTM19" s="344"/>
      <c r="BTN19" s="344"/>
      <c r="BTO19" s="344"/>
      <c r="BTP19" s="344"/>
      <c r="BTQ19" s="344"/>
      <c r="BTR19" s="344"/>
      <c r="BTS19" s="344"/>
      <c r="BTT19" s="344"/>
      <c r="BTU19" s="344"/>
      <c r="BTV19" s="344"/>
      <c r="BTW19" s="344"/>
      <c r="BTX19" s="344"/>
      <c r="BTY19" s="344"/>
      <c r="BTZ19" s="344"/>
      <c r="BUA19" s="344"/>
      <c r="BUB19" s="344"/>
      <c r="BUC19" s="344"/>
      <c r="BUD19" s="344"/>
      <c r="BUE19" s="344"/>
      <c r="BUF19" s="344"/>
      <c r="BUG19" s="344"/>
      <c r="BUH19" s="344"/>
      <c r="BUI19" s="344"/>
      <c r="BUJ19" s="344"/>
      <c r="BUK19" s="344"/>
      <c r="BUL19" s="344"/>
      <c r="BUM19" s="344"/>
      <c r="BUN19" s="344"/>
      <c r="BUO19" s="344"/>
      <c r="BUP19" s="344"/>
      <c r="BUQ19" s="344"/>
      <c r="BUR19" s="344"/>
      <c r="BUS19" s="344"/>
      <c r="BUT19" s="344"/>
      <c r="BUU19" s="344"/>
      <c r="BUV19" s="344"/>
      <c r="BUW19" s="344"/>
      <c r="BUX19" s="344"/>
      <c r="BUY19" s="344"/>
      <c r="BUZ19" s="344"/>
      <c r="BVA19" s="344"/>
      <c r="BVB19" s="344"/>
      <c r="BVC19" s="344"/>
      <c r="BVD19" s="344"/>
      <c r="BVE19" s="344"/>
      <c r="BVF19" s="344"/>
      <c r="BVG19" s="344"/>
      <c r="BVH19" s="344"/>
      <c r="BVI19" s="344"/>
      <c r="BVJ19" s="344"/>
      <c r="BVK19" s="344"/>
      <c r="BVL19" s="344"/>
      <c r="BVM19" s="344"/>
      <c r="BVN19" s="344"/>
      <c r="BVO19" s="344"/>
      <c r="BVP19" s="344"/>
      <c r="BVQ19" s="344"/>
      <c r="BVR19" s="344"/>
      <c r="BVS19" s="344"/>
      <c r="BVT19" s="344"/>
      <c r="BVU19" s="344"/>
      <c r="BVV19" s="344"/>
      <c r="BVW19" s="344"/>
      <c r="BVX19" s="344"/>
      <c r="BVY19" s="344"/>
      <c r="BVZ19" s="344"/>
      <c r="BWA19" s="344"/>
      <c r="BWB19" s="344"/>
      <c r="BWC19" s="344"/>
      <c r="BWD19" s="344"/>
      <c r="BWE19" s="344"/>
      <c r="BWF19" s="344"/>
      <c r="BWG19" s="344"/>
      <c r="BWH19" s="344"/>
      <c r="BWI19" s="344"/>
      <c r="BWJ19" s="344"/>
      <c r="BWK19" s="344"/>
      <c r="BWL19" s="344"/>
      <c r="BWM19" s="344"/>
      <c r="BWN19" s="344"/>
      <c r="BWO19" s="344"/>
      <c r="BWP19" s="344"/>
      <c r="BWQ19" s="344"/>
      <c r="BWR19" s="344"/>
      <c r="BWS19" s="344"/>
      <c r="BWT19" s="344"/>
      <c r="BWU19" s="344"/>
      <c r="BWV19" s="344"/>
      <c r="BWW19" s="344"/>
      <c r="BWX19" s="344"/>
      <c r="BWY19" s="344"/>
      <c r="BWZ19" s="344"/>
      <c r="BXA19" s="344"/>
      <c r="BXB19" s="344"/>
      <c r="BXC19" s="344"/>
      <c r="BXD19" s="344"/>
      <c r="BXE19" s="344"/>
      <c r="BXF19" s="344"/>
      <c r="BXG19" s="344"/>
      <c r="BXH19" s="344"/>
      <c r="BXI19" s="344"/>
      <c r="BXJ19" s="344"/>
      <c r="BXK19" s="344"/>
      <c r="BXL19" s="344"/>
      <c r="BXM19" s="344"/>
      <c r="BXN19" s="344"/>
      <c r="BXO19" s="344"/>
      <c r="BXP19" s="344"/>
      <c r="BXQ19" s="344"/>
      <c r="BXR19" s="344"/>
      <c r="BXS19" s="344"/>
      <c r="BXT19" s="344"/>
      <c r="BXU19" s="344"/>
      <c r="BXV19" s="344"/>
      <c r="BXW19" s="344"/>
      <c r="BXX19" s="344"/>
      <c r="BXY19" s="344"/>
      <c r="BXZ19" s="344"/>
      <c r="BYA19" s="344"/>
      <c r="BYB19" s="344"/>
      <c r="BYC19" s="344"/>
      <c r="BYD19" s="344"/>
      <c r="BYE19" s="344"/>
      <c r="BYF19" s="344"/>
      <c r="BYG19" s="344"/>
      <c r="BYH19" s="344"/>
      <c r="BYI19" s="344"/>
      <c r="BYJ19" s="344"/>
      <c r="BYK19" s="344"/>
      <c r="BYL19" s="344"/>
      <c r="BYM19" s="344"/>
      <c r="BYN19" s="344"/>
      <c r="BYO19" s="344"/>
      <c r="BYP19" s="344"/>
      <c r="BYQ19" s="344"/>
      <c r="BYR19" s="344"/>
      <c r="BYS19" s="344"/>
      <c r="BYT19" s="344"/>
      <c r="BYU19" s="344"/>
      <c r="BYV19" s="344"/>
      <c r="BYW19" s="344"/>
      <c r="BYX19" s="344"/>
      <c r="BYY19" s="344"/>
      <c r="BYZ19" s="344"/>
      <c r="BZA19" s="344"/>
      <c r="BZB19" s="344"/>
      <c r="BZC19" s="344"/>
      <c r="BZD19" s="344"/>
      <c r="BZE19" s="344"/>
      <c r="BZF19" s="344"/>
      <c r="BZG19" s="344"/>
      <c r="BZH19" s="344"/>
      <c r="BZI19" s="344"/>
      <c r="BZJ19" s="344"/>
      <c r="BZK19" s="344"/>
      <c r="BZL19" s="344"/>
      <c r="BZM19" s="344"/>
      <c r="BZN19" s="344"/>
      <c r="BZO19" s="344"/>
      <c r="BZP19" s="344"/>
      <c r="BZQ19" s="344"/>
      <c r="BZR19" s="344"/>
      <c r="BZS19" s="344"/>
      <c r="BZT19" s="344"/>
      <c r="BZU19" s="344"/>
      <c r="BZV19" s="344"/>
      <c r="BZW19" s="344"/>
      <c r="BZX19" s="344"/>
      <c r="BZY19" s="344"/>
      <c r="BZZ19" s="344"/>
      <c r="CAA19" s="344"/>
      <c r="CAB19" s="344"/>
      <c r="CAC19" s="344"/>
      <c r="CAD19" s="344"/>
      <c r="CAE19" s="344"/>
      <c r="CAF19" s="344"/>
      <c r="CAG19" s="344"/>
      <c r="CAH19" s="344"/>
      <c r="CAI19" s="344"/>
      <c r="CAJ19" s="344"/>
      <c r="CAK19" s="344"/>
      <c r="CAL19" s="344"/>
      <c r="CAM19" s="344"/>
      <c r="CAN19" s="344"/>
      <c r="CAO19" s="344"/>
      <c r="CAP19" s="344"/>
      <c r="CAQ19" s="344"/>
      <c r="CAR19" s="344"/>
      <c r="CAS19" s="344"/>
      <c r="CAT19" s="344"/>
      <c r="CAU19" s="344"/>
      <c r="CAV19" s="344"/>
      <c r="CAW19" s="344"/>
      <c r="CAX19" s="344"/>
      <c r="CAY19" s="344"/>
      <c r="CAZ19" s="344"/>
      <c r="CBA19" s="344"/>
      <c r="CBB19" s="344"/>
      <c r="CBC19" s="344"/>
      <c r="CBD19" s="344"/>
      <c r="CBE19" s="344"/>
      <c r="CBF19" s="344"/>
      <c r="CBG19" s="344"/>
      <c r="CBH19" s="344"/>
      <c r="CBI19" s="344"/>
      <c r="CBJ19" s="344"/>
      <c r="CBK19" s="344"/>
      <c r="CBL19" s="344"/>
      <c r="CBM19" s="344"/>
      <c r="CBN19" s="344"/>
      <c r="CBO19" s="344"/>
      <c r="CBP19" s="344"/>
      <c r="CBQ19" s="344"/>
      <c r="CBR19" s="344"/>
      <c r="CBS19" s="344"/>
      <c r="CBT19" s="344"/>
      <c r="CBU19" s="344"/>
      <c r="CBV19" s="344"/>
      <c r="CBW19" s="344"/>
      <c r="CBX19" s="344"/>
      <c r="CBY19" s="344"/>
      <c r="CBZ19" s="344"/>
      <c r="CCA19" s="344"/>
      <c r="CCB19" s="344"/>
      <c r="CCC19" s="344"/>
      <c r="CCD19" s="344"/>
      <c r="CCE19" s="344"/>
      <c r="CCF19" s="344"/>
      <c r="CCG19" s="344"/>
      <c r="CCH19" s="344"/>
      <c r="CCI19" s="344"/>
      <c r="CCJ19" s="344"/>
      <c r="CCK19" s="344"/>
      <c r="CCL19" s="344"/>
      <c r="CCM19" s="344"/>
      <c r="CCN19" s="344"/>
      <c r="CCO19" s="344"/>
      <c r="CCP19" s="344"/>
      <c r="CCQ19" s="344"/>
      <c r="CCR19" s="344"/>
      <c r="CCS19" s="344"/>
      <c r="CCT19" s="344"/>
      <c r="CCU19" s="344"/>
      <c r="CCV19" s="344"/>
      <c r="CCW19" s="344"/>
      <c r="CCX19" s="344"/>
      <c r="CCY19" s="344"/>
      <c r="CCZ19" s="344"/>
      <c r="CDA19" s="344"/>
      <c r="CDB19" s="344"/>
      <c r="CDC19" s="344"/>
      <c r="CDD19" s="344"/>
      <c r="CDE19" s="344"/>
      <c r="CDF19" s="344"/>
      <c r="CDG19" s="344"/>
      <c r="CDH19" s="344"/>
      <c r="CDI19" s="344"/>
      <c r="CDJ19" s="344"/>
      <c r="CDK19" s="344"/>
      <c r="CDL19" s="344"/>
      <c r="CDM19" s="344"/>
      <c r="CDN19" s="344"/>
      <c r="CDO19" s="344"/>
      <c r="CDP19" s="344"/>
      <c r="CDQ19" s="344"/>
      <c r="CDR19" s="344"/>
      <c r="CDS19" s="344"/>
      <c r="CDT19" s="344"/>
      <c r="CDU19" s="344"/>
      <c r="CDV19" s="344"/>
      <c r="CDW19" s="344"/>
      <c r="CDX19" s="344"/>
      <c r="CDY19" s="344"/>
      <c r="CDZ19" s="344"/>
      <c r="CEA19" s="344"/>
      <c r="CEB19" s="344"/>
      <c r="CEC19" s="344"/>
      <c r="CED19" s="344"/>
      <c r="CEE19" s="344"/>
      <c r="CEF19" s="344"/>
      <c r="CEG19" s="344"/>
      <c r="CEH19" s="344"/>
      <c r="CEI19" s="344"/>
      <c r="CEJ19" s="344"/>
      <c r="CEK19" s="344"/>
      <c r="CEL19" s="344"/>
      <c r="CEM19" s="344"/>
      <c r="CEN19" s="344"/>
      <c r="CEO19" s="344"/>
      <c r="CEP19" s="344"/>
      <c r="CEQ19" s="344"/>
      <c r="CER19" s="344"/>
      <c r="CES19" s="344"/>
      <c r="CET19" s="344"/>
      <c r="CEU19" s="344"/>
      <c r="CEV19" s="344"/>
      <c r="CEW19" s="344"/>
      <c r="CEX19" s="344"/>
      <c r="CEY19" s="344"/>
      <c r="CEZ19" s="344"/>
      <c r="CFA19" s="344"/>
      <c r="CFB19" s="344"/>
      <c r="CFC19" s="344"/>
      <c r="CFD19" s="344"/>
      <c r="CFE19" s="344"/>
      <c r="CFF19" s="344"/>
      <c r="CFG19" s="344"/>
      <c r="CFH19" s="344"/>
      <c r="CFI19" s="344"/>
      <c r="CFJ19" s="344"/>
      <c r="CFK19" s="344"/>
      <c r="CFL19" s="344"/>
      <c r="CFM19" s="344"/>
      <c r="CFN19" s="344"/>
      <c r="CFO19" s="344"/>
      <c r="CFP19" s="344"/>
      <c r="CFQ19" s="344"/>
      <c r="CFR19" s="344"/>
      <c r="CFS19" s="344"/>
      <c r="CFT19" s="344"/>
      <c r="CFU19" s="344"/>
      <c r="CFV19" s="344"/>
      <c r="CFW19" s="344"/>
      <c r="CFX19" s="344"/>
      <c r="CFY19" s="344"/>
      <c r="CFZ19" s="344"/>
      <c r="CGA19" s="344"/>
      <c r="CGB19" s="344"/>
      <c r="CGC19" s="344"/>
      <c r="CGD19" s="344"/>
      <c r="CGE19" s="344"/>
      <c r="CGF19" s="344"/>
      <c r="CGG19" s="344"/>
      <c r="CGH19" s="344"/>
      <c r="CGI19" s="344"/>
      <c r="CGJ19" s="344"/>
      <c r="CGK19" s="344"/>
      <c r="CGL19" s="344"/>
      <c r="CGM19" s="344"/>
      <c r="CGN19" s="344"/>
      <c r="CGO19" s="344"/>
      <c r="CGP19" s="344"/>
      <c r="CGQ19" s="344"/>
      <c r="CGR19" s="344"/>
      <c r="CGS19" s="344"/>
      <c r="CGT19" s="344"/>
      <c r="CGU19" s="344"/>
      <c r="CGV19" s="344"/>
      <c r="CGW19" s="344"/>
      <c r="CGX19" s="344"/>
      <c r="CGY19" s="344"/>
      <c r="CGZ19" s="344"/>
      <c r="CHA19" s="344"/>
      <c r="CHB19" s="344"/>
      <c r="CHC19" s="344"/>
      <c r="CHD19" s="344"/>
      <c r="CHE19" s="344"/>
      <c r="CHF19" s="344"/>
      <c r="CHG19" s="344"/>
      <c r="CHH19" s="344"/>
      <c r="CHI19" s="344"/>
      <c r="CHJ19" s="344"/>
      <c r="CHK19" s="344"/>
      <c r="CHL19" s="344"/>
      <c r="CHM19" s="344"/>
      <c r="CHN19" s="344"/>
      <c r="CHO19" s="344"/>
      <c r="CHP19" s="344"/>
      <c r="CHQ19" s="344"/>
      <c r="CHR19" s="344"/>
      <c r="CHS19" s="344"/>
      <c r="CHT19" s="344"/>
      <c r="CHU19" s="344"/>
      <c r="CHV19" s="344"/>
      <c r="CHW19" s="344"/>
      <c r="CHX19" s="344"/>
      <c r="CHY19" s="344"/>
      <c r="CHZ19" s="344"/>
      <c r="CIA19" s="344"/>
      <c r="CIB19" s="344"/>
      <c r="CIC19" s="344"/>
      <c r="CID19" s="344"/>
      <c r="CIE19" s="344"/>
      <c r="CIF19" s="344"/>
      <c r="CIG19" s="344"/>
      <c r="CIH19" s="344"/>
      <c r="CII19" s="344"/>
      <c r="CIJ19" s="344"/>
      <c r="CIK19" s="344"/>
      <c r="CIL19" s="344"/>
      <c r="CIM19" s="344"/>
      <c r="CIN19" s="344"/>
      <c r="CIO19" s="344"/>
      <c r="CIP19" s="344"/>
      <c r="CIQ19" s="344"/>
      <c r="CIR19" s="344"/>
      <c r="CIS19" s="344"/>
      <c r="CIT19" s="344"/>
      <c r="CIU19" s="344"/>
      <c r="CIV19" s="344"/>
      <c r="CIW19" s="344"/>
      <c r="CIX19" s="344"/>
      <c r="CIY19" s="344"/>
      <c r="CIZ19" s="344"/>
      <c r="CJA19" s="344"/>
      <c r="CJB19" s="344"/>
      <c r="CJC19" s="344"/>
      <c r="CJD19" s="344"/>
      <c r="CJE19" s="344"/>
      <c r="CJF19" s="344"/>
      <c r="CJG19" s="344"/>
      <c r="CJH19" s="344"/>
      <c r="CJI19" s="344"/>
      <c r="CJJ19" s="344"/>
      <c r="CJK19" s="344"/>
      <c r="CJL19" s="344"/>
      <c r="CJM19" s="344"/>
      <c r="CJN19" s="344"/>
      <c r="CJO19" s="344"/>
      <c r="CJP19" s="344"/>
      <c r="CJQ19" s="344"/>
      <c r="CJR19" s="344"/>
      <c r="CJS19" s="344"/>
      <c r="CJT19" s="344"/>
      <c r="CJU19" s="344"/>
      <c r="CJV19" s="344"/>
      <c r="CJW19" s="344"/>
      <c r="CJX19" s="344"/>
      <c r="CJY19" s="344"/>
      <c r="CJZ19" s="344"/>
      <c r="CKA19" s="344"/>
      <c r="CKB19" s="344"/>
      <c r="CKC19" s="344"/>
      <c r="CKD19" s="344"/>
      <c r="CKE19" s="344"/>
      <c r="CKF19" s="344"/>
      <c r="CKG19" s="344"/>
      <c r="CKH19" s="344"/>
      <c r="CKI19" s="344"/>
      <c r="CKJ19" s="344"/>
      <c r="CKK19" s="344"/>
      <c r="CKL19" s="344"/>
      <c r="CKM19" s="344"/>
      <c r="CKN19" s="344"/>
      <c r="CKO19" s="344"/>
      <c r="CKP19" s="344"/>
      <c r="CKQ19" s="344"/>
      <c r="CKR19" s="344"/>
      <c r="CKS19" s="344"/>
      <c r="CKT19" s="344"/>
      <c r="CKU19" s="344"/>
      <c r="CKV19" s="344"/>
      <c r="CKW19" s="344"/>
      <c r="CKX19" s="344"/>
      <c r="CKY19" s="344"/>
      <c r="CKZ19" s="344"/>
      <c r="CLA19" s="344"/>
      <c r="CLB19" s="344"/>
      <c r="CLC19" s="344"/>
      <c r="CLD19" s="344"/>
      <c r="CLE19" s="344"/>
      <c r="CLF19" s="344"/>
      <c r="CLG19" s="344"/>
      <c r="CLH19" s="344"/>
      <c r="CLI19" s="344"/>
      <c r="CLJ19" s="344"/>
      <c r="CLK19" s="344"/>
      <c r="CLL19" s="344"/>
      <c r="CLM19" s="344"/>
      <c r="CLN19" s="344"/>
      <c r="CLO19" s="344"/>
      <c r="CLP19" s="344"/>
      <c r="CLQ19" s="344"/>
      <c r="CLR19" s="344"/>
      <c r="CLS19" s="344"/>
      <c r="CLT19" s="344"/>
      <c r="CLU19" s="344"/>
      <c r="CLV19" s="344"/>
      <c r="CLW19" s="344"/>
      <c r="CLX19" s="344"/>
      <c r="CLY19" s="344"/>
      <c r="CLZ19" s="344"/>
      <c r="CMA19" s="344"/>
      <c r="CMB19" s="344"/>
      <c r="CMC19" s="344"/>
      <c r="CMD19" s="344"/>
      <c r="CME19" s="344"/>
      <c r="CMF19" s="344"/>
      <c r="CMG19" s="344"/>
      <c r="CMH19" s="344"/>
      <c r="CMI19" s="344"/>
      <c r="CMJ19" s="344"/>
      <c r="CMK19" s="344"/>
      <c r="CML19" s="344"/>
      <c r="CMM19" s="344"/>
      <c r="CMN19" s="344"/>
      <c r="CMO19" s="344"/>
      <c r="CMP19" s="344"/>
      <c r="CMQ19" s="344"/>
      <c r="CMR19" s="344"/>
      <c r="CMS19" s="344"/>
      <c r="CMT19" s="344"/>
      <c r="CMU19" s="344"/>
      <c r="CMV19" s="344"/>
      <c r="CMW19" s="344"/>
      <c r="CMX19" s="344"/>
      <c r="CMY19" s="344"/>
      <c r="CMZ19" s="344"/>
      <c r="CNA19" s="344"/>
      <c r="CNB19" s="344"/>
      <c r="CNC19" s="344"/>
      <c r="CND19" s="344"/>
      <c r="CNE19" s="344"/>
      <c r="CNF19" s="344"/>
      <c r="CNG19" s="344"/>
      <c r="CNH19" s="344"/>
      <c r="CNI19" s="344"/>
      <c r="CNJ19" s="344"/>
      <c r="CNK19" s="344"/>
      <c r="CNL19" s="344"/>
      <c r="CNM19" s="344"/>
      <c r="CNN19" s="344"/>
      <c r="CNO19" s="344"/>
      <c r="CNP19" s="344"/>
      <c r="CNQ19" s="344"/>
      <c r="CNR19" s="344"/>
      <c r="CNS19" s="344"/>
      <c r="CNT19" s="344"/>
      <c r="CNU19" s="344"/>
      <c r="CNV19" s="344"/>
      <c r="CNW19" s="344"/>
      <c r="CNX19" s="344"/>
      <c r="CNY19" s="344"/>
      <c r="CNZ19" s="344"/>
      <c r="COA19" s="344"/>
      <c r="COB19" s="344"/>
      <c r="COC19" s="344"/>
      <c r="COD19" s="344"/>
      <c r="COE19" s="344"/>
      <c r="COF19" s="344"/>
      <c r="COG19" s="344"/>
      <c r="COH19" s="344"/>
      <c r="COI19" s="344"/>
      <c r="COJ19" s="344"/>
      <c r="COK19" s="344"/>
      <c r="COL19" s="344"/>
      <c r="COM19" s="344"/>
      <c r="CON19" s="344"/>
      <c r="COO19" s="344"/>
      <c r="COP19" s="344"/>
      <c r="COQ19" s="344"/>
      <c r="COR19" s="344"/>
      <c r="COS19" s="344"/>
      <c r="COT19" s="344"/>
      <c r="COU19" s="344"/>
      <c r="COV19" s="344"/>
      <c r="COW19" s="344"/>
      <c r="COX19" s="344"/>
      <c r="COY19" s="344"/>
      <c r="COZ19" s="344"/>
      <c r="CPA19" s="344"/>
      <c r="CPB19" s="344"/>
      <c r="CPC19" s="344"/>
      <c r="CPD19" s="344"/>
      <c r="CPE19" s="344"/>
      <c r="CPF19" s="344"/>
      <c r="CPG19" s="344"/>
      <c r="CPH19" s="344"/>
      <c r="CPI19" s="344"/>
      <c r="CPJ19" s="344"/>
      <c r="CPK19" s="344"/>
      <c r="CPL19" s="344"/>
      <c r="CPM19" s="344"/>
      <c r="CPN19" s="344"/>
      <c r="CPO19" s="344"/>
      <c r="CPP19" s="344"/>
      <c r="CPQ19" s="344"/>
      <c r="CPR19" s="344"/>
      <c r="CPS19" s="344"/>
      <c r="CPT19" s="344"/>
      <c r="CPU19" s="344"/>
      <c r="CPV19" s="344"/>
      <c r="CPW19" s="344"/>
      <c r="CPX19" s="344"/>
      <c r="CPY19" s="344"/>
      <c r="CPZ19" s="344"/>
      <c r="CQA19" s="344"/>
      <c r="CQB19" s="344"/>
      <c r="CQC19" s="344"/>
      <c r="CQD19" s="344"/>
      <c r="CQE19" s="344"/>
      <c r="CQF19" s="344"/>
      <c r="CQG19" s="344"/>
      <c r="CQH19" s="344"/>
      <c r="CQI19" s="344"/>
      <c r="CQJ19" s="344"/>
      <c r="CQK19" s="344"/>
      <c r="CQL19" s="344"/>
      <c r="CQM19" s="344"/>
      <c r="CQN19" s="344"/>
      <c r="CQO19" s="344"/>
      <c r="CQP19" s="344"/>
      <c r="CQQ19" s="344"/>
      <c r="CQR19" s="344"/>
      <c r="CQS19" s="344"/>
      <c r="CQT19" s="344"/>
      <c r="CQU19" s="344"/>
      <c r="CQV19" s="344"/>
      <c r="CQW19" s="344"/>
      <c r="CQX19" s="344"/>
      <c r="CQY19" s="344"/>
      <c r="CQZ19" s="344"/>
      <c r="CRA19" s="344"/>
      <c r="CRB19" s="344"/>
      <c r="CRC19" s="344"/>
      <c r="CRD19" s="344"/>
      <c r="CRE19" s="344"/>
      <c r="CRF19" s="344"/>
      <c r="CRG19" s="344"/>
      <c r="CRH19" s="344"/>
      <c r="CRI19" s="344"/>
      <c r="CRJ19" s="344"/>
      <c r="CRK19" s="344"/>
      <c r="CRL19" s="344"/>
      <c r="CRM19" s="344"/>
      <c r="CRN19" s="344"/>
      <c r="CRO19" s="344"/>
      <c r="CRP19" s="344"/>
      <c r="CRQ19" s="344"/>
      <c r="CRR19" s="344"/>
      <c r="CRS19" s="344"/>
      <c r="CRT19" s="344"/>
      <c r="CRU19" s="344"/>
      <c r="CRV19" s="344"/>
      <c r="CRW19" s="344"/>
      <c r="CRX19" s="344"/>
      <c r="CRY19" s="344"/>
      <c r="CRZ19" s="344"/>
      <c r="CSA19" s="344"/>
      <c r="CSB19" s="344"/>
      <c r="CSC19" s="344"/>
      <c r="CSD19" s="344"/>
      <c r="CSE19" s="344"/>
      <c r="CSF19" s="344"/>
      <c r="CSG19" s="344"/>
      <c r="CSH19" s="344"/>
      <c r="CSI19" s="344"/>
      <c r="CSJ19" s="344"/>
      <c r="CSK19" s="344"/>
      <c r="CSL19" s="344"/>
      <c r="CSM19" s="344"/>
      <c r="CSN19" s="344"/>
      <c r="CSO19" s="344"/>
      <c r="CSP19" s="344"/>
      <c r="CSQ19" s="344"/>
      <c r="CSR19" s="344"/>
      <c r="CSS19" s="344"/>
      <c r="CST19" s="344"/>
      <c r="CSU19" s="344"/>
      <c r="CSV19" s="344"/>
      <c r="CSW19" s="344"/>
      <c r="CSX19" s="344"/>
      <c r="CSY19" s="344"/>
      <c r="CSZ19" s="344"/>
      <c r="CTA19" s="344"/>
      <c r="CTB19" s="344"/>
      <c r="CTC19" s="344"/>
      <c r="CTD19" s="344"/>
      <c r="CTE19" s="344"/>
      <c r="CTF19" s="344"/>
      <c r="CTG19" s="344"/>
      <c r="CTH19" s="344"/>
      <c r="CTI19" s="344"/>
      <c r="CTJ19" s="344"/>
      <c r="CTK19" s="344"/>
      <c r="CTL19" s="344"/>
      <c r="CTM19" s="344"/>
      <c r="CTN19" s="344"/>
      <c r="CTO19" s="344"/>
      <c r="CTP19" s="344"/>
      <c r="CTQ19" s="344"/>
      <c r="CTR19" s="344"/>
      <c r="CTS19" s="344"/>
      <c r="CTT19" s="344"/>
      <c r="CTU19" s="344"/>
      <c r="CTV19" s="344"/>
      <c r="CTW19" s="344"/>
      <c r="CTX19" s="344"/>
      <c r="CTY19" s="344"/>
      <c r="CTZ19" s="344"/>
      <c r="CUA19" s="344"/>
      <c r="CUB19" s="344"/>
      <c r="CUC19" s="344"/>
      <c r="CUD19" s="344"/>
      <c r="CUE19" s="344"/>
      <c r="CUF19" s="344"/>
      <c r="CUG19" s="344"/>
      <c r="CUH19" s="344"/>
      <c r="CUI19" s="344"/>
      <c r="CUJ19" s="344"/>
      <c r="CUK19" s="344"/>
      <c r="CUL19" s="344"/>
      <c r="CUM19" s="344"/>
      <c r="CUN19" s="344"/>
      <c r="CUO19" s="344"/>
      <c r="CUP19" s="344"/>
      <c r="CUQ19" s="344"/>
      <c r="CUR19" s="344"/>
      <c r="CUS19" s="344"/>
      <c r="CUT19" s="344"/>
      <c r="CUU19" s="344"/>
      <c r="CUV19" s="344"/>
      <c r="CUW19" s="344"/>
      <c r="CUX19" s="344"/>
      <c r="CUY19" s="344"/>
      <c r="CUZ19" s="344"/>
      <c r="CVA19" s="344"/>
      <c r="CVB19" s="344"/>
      <c r="CVC19" s="344"/>
      <c r="CVD19" s="344"/>
      <c r="CVE19" s="344"/>
      <c r="CVF19" s="344"/>
      <c r="CVG19" s="344"/>
      <c r="CVH19" s="344"/>
      <c r="CVI19" s="344"/>
      <c r="CVJ19" s="344"/>
      <c r="CVK19" s="344"/>
      <c r="CVL19" s="344"/>
      <c r="CVM19" s="344"/>
      <c r="CVN19" s="344"/>
      <c r="CVO19" s="344"/>
      <c r="CVP19" s="344"/>
      <c r="CVQ19" s="344"/>
      <c r="CVR19" s="344"/>
      <c r="CVS19" s="344"/>
      <c r="CVT19" s="344"/>
      <c r="CVU19" s="344"/>
      <c r="CVV19" s="344"/>
      <c r="CVW19" s="344"/>
      <c r="CVX19" s="344"/>
      <c r="CVY19" s="344"/>
      <c r="CVZ19" s="344"/>
      <c r="CWA19" s="344"/>
      <c r="CWB19" s="344"/>
      <c r="CWC19" s="344"/>
      <c r="CWD19" s="344"/>
      <c r="CWE19" s="344"/>
      <c r="CWF19" s="344"/>
      <c r="CWG19" s="344"/>
      <c r="CWH19" s="344"/>
      <c r="CWI19" s="344"/>
      <c r="CWJ19" s="344"/>
      <c r="CWK19" s="344"/>
      <c r="CWL19" s="344"/>
      <c r="CWM19" s="344"/>
      <c r="CWN19" s="344"/>
      <c r="CWO19" s="344"/>
      <c r="CWP19" s="344"/>
      <c r="CWQ19" s="344"/>
      <c r="CWR19" s="344"/>
      <c r="CWS19" s="344"/>
      <c r="CWT19" s="344"/>
      <c r="CWU19" s="344"/>
      <c r="CWV19" s="344"/>
      <c r="CWW19" s="344"/>
      <c r="CWX19" s="344"/>
      <c r="CWY19" s="344"/>
      <c r="CWZ19" s="344"/>
      <c r="CXA19" s="344"/>
      <c r="CXB19" s="344"/>
      <c r="CXC19" s="344"/>
      <c r="CXD19" s="344"/>
      <c r="CXE19" s="344"/>
      <c r="CXF19" s="344"/>
      <c r="CXG19" s="344"/>
      <c r="CXH19" s="344"/>
      <c r="CXI19" s="344"/>
      <c r="CXJ19" s="344"/>
      <c r="CXK19" s="344"/>
      <c r="CXL19" s="344"/>
      <c r="CXM19" s="344"/>
      <c r="CXN19" s="344"/>
      <c r="CXO19" s="344"/>
      <c r="CXP19" s="344"/>
      <c r="CXQ19" s="344"/>
      <c r="CXR19" s="344"/>
      <c r="CXS19" s="344"/>
      <c r="CXT19" s="344"/>
      <c r="CXU19" s="344"/>
      <c r="CXV19" s="344"/>
      <c r="CXW19" s="344"/>
      <c r="CXX19" s="344"/>
      <c r="CXY19" s="344"/>
      <c r="CXZ19" s="344"/>
      <c r="CYA19" s="344"/>
      <c r="CYB19" s="344"/>
      <c r="CYC19" s="344"/>
      <c r="CYD19" s="344"/>
      <c r="CYE19" s="344"/>
      <c r="CYF19" s="344"/>
      <c r="CYG19" s="344"/>
      <c r="CYH19" s="344"/>
      <c r="CYI19" s="344"/>
      <c r="CYJ19" s="344"/>
      <c r="CYK19" s="344"/>
      <c r="CYL19" s="344"/>
      <c r="CYM19" s="344"/>
      <c r="CYN19" s="344"/>
      <c r="CYO19" s="344"/>
      <c r="CYP19" s="344"/>
      <c r="CYQ19" s="344"/>
      <c r="CYR19" s="344"/>
      <c r="CYS19" s="344"/>
      <c r="CYT19" s="344"/>
      <c r="CYU19" s="344"/>
      <c r="CYV19" s="344"/>
      <c r="CYW19" s="344"/>
      <c r="CYX19" s="344"/>
      <c r="CYY19" s="344"/>
      <c r="CYZ19" s="344"/>
      <c r="CZA19" s="344"/>
      <c r="CZB19" s="344"/>
      <c r="CZC19" s="344"/>
      <c r="CZD19" s="344"/>
      <c r="CZE19" s="344"/>
      <c r="CZF19" s="344"/>
      <c r="CZG19" s="344"/>
      <c r="CZH19" s="344"/>
      <c r="CZI19" s="344"/>
      <c r="CZJ19" s="344"/>
      <c r="CZK19" s="344"/>
      <c r="CZL19" s="344"/>
      <c r="CZM19" s="344"/>
      <c r="CZN19" s="344"/>
      <c r="CZO19" s="344"/>
      <c r="CZP19" s="344"/>
      <c r="CZQ19" s="344"/>
      <c r="CZR19" s="344"/>
      <c r="CZS19" s="344"/>
      <c r="CZT19" s="344"/>
      <c r="CZU19" s="344"/>
      <c r="CZV19" s="344"/>
      <c r="CZW19" s="344"/>
      <c r="CZX19" s="344"/>
      <c r="CZY19" s="344"/>
      <c r="CZZ19" s="344"/>
      <c r="DAA19" s="344"/>
      <c r="DAB19" s="344"/>
      <c r="DAC19" s="344"/>
      <c r="DAD19" s="344"/>
      <c r="DAE19" s="344"/>
      <c r="DAF19" s="344"/>
      <c r="DAG19" s="344"/>
      <c r="DAH19" s="344"/>
      <c r="DAI19" s="344"/>
      <c r="DAJ19" s="344"/>
      <c r="DAK19" s="344"/>
      <c r="DAL19" s="344"/>
      <c r="DAM19" s="344"/>
      <c r="DAN19" s="344"/>
      <c r="DAO19" s="344"/>
      <c r="DAP19" s="344"/>
      <c r="DAQ19" s="344"/>
      <c r="DAR19" s="344"/>
      <c r="DAS19" s="344"/>
      <c r="DAT19" s="344"/>
      <c r="DAU19" s="344"/>
      <c r="DAV19" s="344"/>
      <c r="DAW19" s="344"/>
      <c r="DAX19" s="344"/>
      <c r="DAY19" s="344"/>
      <c r="DAZ19" s="344"/>
      <c r="DBA19" s="344"/>
      <c r="DBB19" s="344"/>
      <c r="DBC19" s="344"/>
      <c r="DBD19" s="344"/>
      <c r="DBE19" s="344"/>
      <c r="DBF19" s="344"/>
      <c r="DBG19" s="344"/>
      <c r="DBH19" s="344"/>
      <c r="DBI19" s="344"/>
      <c r="DBJ19" s="344"/>
      <c r="DBK19" s="344"/>
      <c r="DBL19" s="344"/>
      <c r="DBM19" s="344"/>
      <c r="DBN19" s="344"/>
      <c r="DBO19" s="344"/>
      <c r="DBP19" s="344"/>
      <c r="DBQ19" s="344"/>
      <c r="DBR19" s="344"/>
      <c r="DBS19" s="344"/>
      <c r="DBT19" s="344"/>
      <c r="DBU19" s="344"/>
      <c r="DBV19" s="344"/>
      <c r="DBW19" s="344"/>
      <c r="DBX19" s="344"/>
      <c r="DBY19" s="344"/>
      <c r="DBZ19" s="344"/>
      <c r="DCA19" s="344"/>
      <c r="DCB19" s="344"/>
      <c r="DCC19" s="344"/>
      <c r="DCD19" s="344"/>
      <c r="DCE19" s="344"/>
      <c r="DCF19" s="344"/>
      <c r="DCG19" s="344"/>
      <c r="DCH19" s="344"/>
      <c r="DCI19" s="344"/>
      <c r="DCJ19" s="344"/>
      <c r="DCK19" s="344"/>
      <c r="DCL19" s="344"/>
      <c r="DCM19" s="344"/>
      <c r="DCN19" s="344"/>
      <c r="DCO19" s="344"/>
      <c r="DCP19" s="344"/>
      <c r="DCQ19" s="344"/>
      <c r="DCR19" s="344"/>
      <c r="DCS19" s="344"/>
      <c r="DCT19" s="344"/>
      <c r="DCU19" s="344"/>
      <c r="DCV19" s="344"/>
      <c r="DCW19" s="344"/>
      <c r="DCX19" s="344"/>
      <c r="DCY19" s="344"/>
      <c r="DCZ19" s="344"/>
      <c r="DDA19" s="344"/>
      <c r="DDB19" s="344"/>
      <c r="DDC19" s="344"/>
      <c r="DDD19" s="344"/>
      <c r="DDE19" s="344"/>
      <c r="DDF19" s="344"/>
      <c r="DDG19" s="344"/>
      <c r="DDH19" s="344"/>
      <c r="DDI19" s="344"/>
      <c r="DDJ19" s="344"/>
      <c r="DDK19" s="344"/>
      <c r="DDL19" s="344"/>
      <c r="DDM19" s="344"/>
      <c r="DDN19" s="344"/>
      <c r="DDO19" s="344"/>
      <c r="DDP19" s="344"/>
      <c r="DDQ19" s="344"/>
      <c r="DDR19" s="344"/>
      <c r="DDS19" s="344"/>
      <c r="DDT19" s="344"/>
      <c r="DDU19" s="344"/>
      <c r="DDV19" s="344"/>
      <c r="DDW19" s="344"/>
      <c r="DDX19" s="344"/>
      <c r="DDY19" s="344"/>
      <c r="DDZ19" s="344"/>
      <c r="DEA19" s="344"/>
      <c r="DEB19" s="344"/>
      <c r="DEC19" s="344"/>
      <c r="DED19" s="344"/>
      <c r="DEE19" s="344"/>
      <c r="DEF19" s="344"/>
      <c r="DEG19" s="344"/>
      <c r="DEH19" s="344"/>
      <c r="DEI19" s="344"/>
      <c r="DEJ19" s="344"/>
      <c r="DEK19" s="344"/>
      <c r="DEL19" s="344"/>
      <c r="DEM19" s="344"/>
      <c r="DEN19" s="344"/>
      <c r="DEO19" s="344"/>
      <c r="DEP19" s="344"/>
      <c r="DEQ19" s="344"/>
      <c r="DER19" s="344"/>
      <c r="DES19" s="344"/>
      <c r="DET19" s="344"/>
      <c r="DEU19" s="344"/>
      <c r="DEV19" s="344"/>
      <c r="DEW19" s="344"/>
      <c r="DEX19" s="344"/>
      <c r="DEY19" s="344"/>
      <c r="DEZ19" s="344"/>
      <c r="DFA19" s="344"/>
      <c r="DFB19" s="344"/>
      <c r="DFC19" s="344"/>
      <c r="DFD19" s="344"/>
      <c r="DFE19" s="344"/>
      <c r="DFF19" s="344"/>
      <c r="DFG19" s="344"/>
      <c r="DFH19" s="344"/>
      <c r="DFI19" s="344"/>
      <c r="DFJ19" s="344"/>
      <c r="DFK19" s="344"/>
      <c r="DFL19" s="344"/>
      <c r="DFM19" s="344"/>
      <c r="DFN19" s="344"/>
      <c r="DFO19" s="344"/>
      <c r="DFP19" s="344"/>
      <c r="DFQ19" s="344"/>
      <c r="DFR19" s="344"/>
      <c r="DFS19" s="344"/>
      <c r="DFT19" s="344"/>
      <c r="DFU19" s="344"/>
      <c r="DFV19" s="344"/>
      <c r="DFW19" s="344"/>
      <c r="DFX19" s="344"/>
      <c r="DFY19" s="344"/>
      <c r="DFZ19" s="344"/>
      <c r="DGA19" s="344"/>
      <c r="DGB19" s="344"/>
      <c r="DGC19" s="344"/>
      <c r="DGD19" s="344"/>
      <c r="DGE19" s="344"/>
      <c r="DGF19" s="344"/>
      <c r="DGG19" s="344"/>
      <c r="DGH19" s="344"/>
      <c r="DGI19" s="344"/>
      <c r="DGJ19" s="344"/>
      <c r="DGK19" s="344"/>
      <c r="DGL19" s="344"/>
      <c r="DGM19" s="344"/>
      <c r="DGN19" s="344"/>
      <c r="DGO19" s="344"/>
      <c r="DGP19" s="344"/>
      <c r="DGQ19" s="344"/>
      <c r="DGR19" s="344"/>
      <c r="DGS19" s="344"/>
      <c r="DGT19" s="344"/>
      <c r="DGU19" s="344"/>
      <c r="DGV19" s="344"/>
      <c r="DGW19" s="344"/>
      <c r="DGX19" s="344"/>
      <c r="DGY19" s="344"/>
      <c r="DGZ19" s="344"/>
      <c r="DHA19" s="344"/>
      <c r="DHB19" s="344"/>
      <c r="DHC19" s="344"/>
      <c r="DHD19" s="344"/>
      <c r="DHE19" s="344"/>
      <c r="DHF19" s="344"/>
      <c r="DHG19" s="344"/>
      <c r="DHH19" s="344"/>
      <c r="DHI19" s="344"/>
      <c r="DHJ19" s="344"/>
      <c r="DHK19" s="344"/>
      <c r="DHL19" s="344"/>
      <c r="DHM19" s="344"/>
      <c r="DHN19" s="344"/>
      <c r="DHO19" s="344"/>
      <c r="DHP19" s="344"/>
      <c r="DHQ19" s="344"/>
      <c r="DHR19" s="344"/>
      <c r="DHS19" s="344"/>
      <c r="DHT19" s="344"/>
      <c r="DHU19" s="344"/>
      <c r="DHV19" s="344"/>
      <c r="DHW19" s="344"/>
      <c r="DHX19" s="344"/>
      <c r="DHY19" s="344"/>
      <c r="DHZ19" s="344"/>
      <c r="DIA19" s="344"/>
      <c r="DIB19" s="344"/>
      <c r="DIC19" s="344"/>
      <c r="DID19" s="344"/>
      <c r="DIE19" s="344"/>
      <c r="DIF19" s="344"/>
      <c r="DIG19" s="344"/>
      <c r="DIH19" s="344"/>
      <c r="DII19" s="344"/>
      <c r="DIJ19" s="344"/>
      <c r="DIK19" s="344"/>
      <c r="DIL19" s="344"/>
      <c r="DIM19" s="344"/>
      <c r="DIN19" s="344"/>
      <c r="DIO19" s="344"/>
      <c r="DIP19" s="344"/>
      <c r="DIQ19" s="344"/>
      <c r="DIR19" s="344"/>
      <c r="DIS19" s="344"/>
      <c r="DIT19" s="344"/>
      <c r="DIU19" s="344"/>
      <c r="DIV19" s="344"/>
      <c r="DIW19" s="344"/>
      <c r="DIX19" s="344"/>
      <c r="DIY19" s="344"/>
      <c r="DIZ19" s="344"/>
      <c r="DJA19" s="344"/>
      <c r="DJB19" s="344"/>
      <c r="DJC19" s="344"/>
      <c r="DJD19" s="344"/>
      <c r="DJE19" s="344"/>
      <c r="DJF19" s="344"/>
      <c r="DJG19" s="344"/>
      <c r="DJH19" s="344"/>
      <c r="DJI19" s="344"/>
      <c r="DJJ19" s="344"/>
      <c r="DJK19" s="344"/>
      <c r="DJL19" s="344"/>
      <c r="DJM19" s="344"/>
      <c r="DJN19" s="344"/>
      <c r="DJO19" s="344"/>
      <c r="DJP19" s="344"/>
      <c r="DJQ19" s="344"/>
      <c r="DJR19" s="344"/>
      <c r="DJS19" s="344"/>
      <c r="DJT19" s="344"/>
      <c r="DJU19" s="344"/>
      <c r="DJV19" s="344"/>
      <c r="DJW19" s="344"/>
      <c r="DJX19" s="344"/>
      <c r="DJY19" s="344"/>
      <c r="DJZ19" s="344"/>
      <c r="DKA19" s="344"/>
      <c r="DKB19" s="344"/>
      <c r="DKC19" s="344"/>
      <c r="DKD19" s="344"/>
      <c r="DKE19" s="344"/>
      <c r="DKF19" s="344"/>
      <c r="DKG19" s="344"/>
      <c r="DKH19" s="344"/>
      <c r="DKI19" s="344"/>
      <c r="DKJ19" s="344"/>
      <c r="DKK19" s="344"/>
      <c r="DKL19" s="344"/>
      <c r="DKM19" s="344"/>
      <c r="DKN19" s="344"/>
      <c r="DKO19" s="344"/>
      <c r="DKP19" s="344"/>
      <c r="DKQ19" s="344"/>
      <c r="DKR19" s="344"/>
      <c r="DKS19" s="344"/>
      <c r="DKT19" s="344"/>
      <c r="DKU19" s="344"/>
      <c r="DKV19" s="344"/>
      <c r="DKW19" s="344"/>
      <c r="DKX19" s="344"/>
      <c r="DKY19" s="344"/>
      <c r="DKZ19" s="344"/>
      <c r="DLA19" s="344"/>
      <c r="DLB19" s="344"/>
      <c r="DLC19" s="344"/>
      <c r="DLD19" s="344"/>
      <c r="DLE19" s="344"/>
      <c r="DLF19" s="344"/>
      <c r="DLG19" s="344"/>
      <c r="DLH19" s="344"/>
      <c r="DLI19" s="344"/>
      <c r="DLJ19" s="344"/>
      <c r="DLK19" s="344"/>
      <c r="DLL19" s="344"/>
      <c r="DLM19" s="344"/>
      <c r="DLN19" s="344"/>
      <c r="DLO19" s="344"/>
      <c r="DLP19" s="344"/>
      <c r="DLQ19" s="344"/>
      <c r="DLR19" s="344"/>
      <c r="DLS19" s="344"/>
      <c r="DLT19" s="344"/>
      <c r="DLU19" s="344"/>
      <c r="DLV19" s="344"/>
      <c r="DLW19" s="344"/>
      <c r="DLX19" s="344"/>
      <c r="DLY19" s="344"/>
      <c r="DLZ19" s="344"/>
      <c r="DMA19" s="344"/>
      <c r="DMB19" s="344"/>
      <c r="DMC19" s="344"/>
      <c r="DMD19" s="344"/>
      <c r="DME19" s="344"/>
      <c r="DMF19" s="344"/>
      <c r="DMG19" s="344"/>
      <c r="DMH19" s="344"/>
      <c r="DMI19" s="344"/>
      <c r="DMJ19" s="344"/>
      <c r="DMK19" s="344"/>
      <c r="DML19" s="344"/>
      <c r="DMM19" s="344"/>
      <c r="DMN19" s="344"/>
      <c r="DMO19" s="344"/>
      <c r="DMP19" s="344"/>
      <c r="DMQ19" s="344"/>
      <c r="DMR19" s="344"/>
      <c r="DMS19" s="344"/>
      <c r="DMT19" s="344"/>
      <c r="DMU19" s="344"/>
      <c r="DMV19" s="344"/>
      <c r="DMW19" s="344"/>
      <c r="DMX19" s="344"/>
      <c r="DMY19" s="344"/>
      <c r="DMZ19" s="344"/>
      <c r="DNA19" s="344"/>
      <c r="DNB19" s="344"/>
      <c r="DNC19" s="344"/>
      <c r="DND19" s="344"/>
      <c r="DNE19" s="344"/>
      <c r="DNF19" s="344"/>
      <c r="DNG19" s="344"/>
      <c r="DNH19" s="344"/>
      <c r="DNI19" s="344"/>
      <c r="DNJ19" s="344"/>
      <c r="DNK19" s="344"/>
      <c r="DNL19" s="344"/>
      <c r="DNM19" s="344"/>
      <c r="DNN19" s="344"/>
      <c r="DNO19" s="344"/>
      <c r="DNP19" s="344"/>
      <c r="DNQ19" s="344"/>
      <c r="DNR19" s="344"/>
      <c r="DNS19" s="344"/>
      <c r="DNT19" s="344"/>
      <c r="DNU19" s="344"/>
      <c r="DNV19" s="344"/>
      <c r="DNW19" s="344"/>
      <c r="DNX19" s="344"/>
      <c r="DNY19" s="344"/>
      <c r="DNZ19" s="344"/>
      <c r="DOA19" s="344"/>
      <c r="DOB19" s="344"/>
      <c r="DOC19" s="344"/>
      <c r="DOD19" s="344"/>
      <c r="DOE19" s="344"/>
      <c r="DOF19" s="344"/>
      <c r="DOG19" s="344"/>
      <c r="DOH19" s="344"/>
      <c r="DOI19" s="344"/>
      <c r="DOJ19" s="344"/>
      <c r="DOK19" s="344"/>
      <c r="DOL19" s="344"/>
      <c r="DOM19" s="344"/>
      <c r="DON19" s="344"/>
      <c r="DOO19" s="344"/>
      <c r="DOP19" s="344"/>
      <c r="DOQ19" s="344"/>
      <c r="DOR19" s="344"/>
      <c r="DOS19" s="344"/>
      <c r="DOT19" s="344"/>
      <c r="DOU19" s="344"/>
      <c r="DOV19" s="344"/>
      <c r="DOW19" s="344"/>
      <c r="DOX19" s="344"/>
      <c r="DOY19" s="344"/>
      <c r="DOZ19" s="344"/>
      <c r="DPA19" s="344"/>
      <c r="DPB19" s="344"/>
      <c r="DPC19" s="344"/>
      <c r="DPD19" s="344"/>
      <c r="DPE19" s="344"/>
      <c r="DPF19" s="344"/>
      <c r="DPG19" s="344"/>
      <c r="DPH19" s="344"/>
      <c r="DPI19" s="344"/>
      <c r="DPJ19" s="344"/>
      <c r="DPK19" s="344"/>
      <c r="DPL19" s="344"/>
      <c r="DPM19" s="344"/>
      <c r="DPN19" s="344"/>
      <c r="DPO19" s="344"/>
      <c r="DPP19" s="344"/>
      <c r="DPQ19" s="344"/>
      <c r="DPR19" s="344"/>
      <c r="DPS19" s="344"/>
      <c r="DPT19" s="344"/>
      <c r="DPU19" s="344"/>
      <c r="DPV19" s="344"/>
      <c r="DPW19" s="344"/>
      <c r="DPX19" s="344"/>
      <c r="DPY19" s="344"/>
      <c r="DPZ19" s="344"/>
      <c r="DQA19" s="344"/>
      <c r="DQB19" s="344"/>
      <c r="DQC19" s="344"/>
      <c r="DQD19" s="344"/>
      <c r="DQE19" s="344"/>
      <c r="DQF19" s="344"/>
      <c r="DQG19" s="344"/>
      <c r="DQH19" s="344"/>
      <c r="DQI19" s="344"/>
      <c r="DQJ19" s="344"/>
      <c r="DQK19" s="344"/>
      <c r="DQL19" s="344"/>
      <c r="DQM19" s="344"/>
      <c r="DQN19" s="344"/>
      <c r="DQO19" s="344"/>
      <c r="DQP19" s="344"/>
      <c r="DQQ19" s="344"/>
      <c r="DQR19" s="344"/>
      <c r="DQS19" s="344"/>
      <c r="DQT19" s="344"/>
      <c r="DQU19" s="344"/>
      <c r="DQV19" s="344"/>
      <c r="DQW19" s="344"/>
      <c r="DQX19" s="344"/>
      <c r="DQY19" s="344"/>
      <c r="DQZ19" s="344"/>
      <c r="DRA19" s="344"/>
      <c r="DRB19" s="344"/>
      <c r="DRC19" s="344"/>
      <c r="DRD19" s="344"/>
      <c r="DRE19" s="344"/>
      <c r="DRF19" s="344"/>
      <c r="DRG19" s="344"/>
      <c r="DRH19" s="344"/>
      <c r="DRI19" s="344"/>
      <c r="DRJ19" s="344"/>
      <c r="DRK19" s="344"/>
      <c r="DRL19" s="344"/>
      <c r="DRM19" s="344"/>
      <c r="DRN19" s="344"/>
      <c r="DRO19" s="344"/>
      <c r="DRP19" s="344"/>
      <c r="DRQ19" s="344"/>
      <c r="DRR19" s="344"/>
      <c r="DRS19" s="344"/>
      <c r="DRT19" s="344"/>
      <c r="DRU19" s="344"/>
      <c r="DRV19" s="344"/>
      <c r="DRW19" s="344"/>
      <c r="DRX19" s="344"/>
      <c r="DRY19" s="344"/>
      <c r="DRZ19" s="344"/>
      <c r="DSA19" s="344"/>
      <c r="DSB19" s="344"/>
      <c r="DSC19" s="344"/>
      <c r="DSD19" s="344"/>
      <c r="DSE19" s="344"/>
      <c r="DSF19" s="344"/>
      <c r="DSG19" s="344"/>
      <c r="DSH19" s="344"/>
      <c r="DSI19" s="344"/>
      <c r="DSJ19" s="344"/>
      <c r="DSK19" s="344"/>
      <c r="DSL19" s="344"/>
      <c r="DSM19" s="344"/>
      <c r="DSN19" s="344"/>
      <c r="DSO19" s="344"/>
      <c r="DSP19" s="344"/>
      <c r="DSQ19" s="344"/>
      <c r="DSR19" s="344"/>
      <c r="DSS19" s="344"/>
      <c r="DST19" s="344"/>
      <c r="DSU19" s="344"/>
      <c r="DSV19" s="344"/>
      <c r="DSW19" s="344"/>
      <c r="DSX19" s="344"/>
      <c r="DSY19" s="344"/>
      <c r="DSZ19" s="344"/>
      <c r="DTA19" s="344"/>
      <c r="DTB19" s="344"/>
      <c r="DTC19" s="344"/>
      <c r="DTD19" s="344"/>
      <c r="DTE19" s="344"/>
      <c r="DTF19" s="344"/>
      <c r="DTG19" s="344"/>
      <c r="DTH19" s="344"/>
      <c r="DTI19" s="344"/>
      <c r="DTJ19" s="344"/>
      <c r="DTK19" s="344"/>
      <c r="DTL19" s="344"/>
      <c r="DTM19" s="344"/>
      <c r="DTN19" s="344"/>
      <c r="DTO19" s="344"/>
      <c r="DTP19" s="344"/>
      <c r="DTQ19" s="344"/>
      <c r="DTR19" s="344"/>
      <c r="DTS19" s="344"/>
      <c r="DTT19" s="344"/>
      <c r="DTU19" s="344"/>
      <c r="DTV19" s="344"/>
      <c r="DTW19" s="344"/>
      <c r="DTX19" s="344"/>
      <c r="DTY19" s="344"/>
      <c r="DTZ19" s="344"/>
      <c r="DUA19" s="344"/>
      <c r="DUB19" s="344"/>
      <c r="DUC19" s="344"/>
      <c r="DUD19" s="344"/>
      <c r="DUE19" s="344"/>
      <c r="DUF19" s="344"/>
      <c r="DUG19" s="344"/>
      <c r="DUH19" s="344"/>
      <c r="DUI19" s="344"/>
      <c r="DUJ19" s="344"/>
      <c r="DUK19" s="344"/>
      <c r="DUL19" s="344"/>
      <c r="DUM19" s="344"/>
      <c r="DUN19" s="344"/>
      <c r="DUO19" s="344"/>
      <c r="DUP19" s="344"/>
      <c r="DUQ19" s="344"/>
      <c r="DUR19" s="344"/>
      <c r="DUS19" s="344"/>
      <c r="DUT19" s="344"/>
      <c r="DUU19" s="344"/>
      <c r="DUV19" s="344"/>
      <c r="DUW19" s="344"/>
      <c r="DUX19" s="344"/>
      <c r="DUY19" s="344"/>
      <c r="DUZ19" s="344"/>
      <c r="DVA19" s="344"/>
      <c r="DVB19" s="344"/>
      <c r="DVC19" s="344"/>
      <c r="DVD19" s="344"/>
      <c r="DVE19" s="344"/>
      <c r="DVF19" s="344"/>
      <c r="DVG19" s="344"/>
      <c r="DVH19" s="344"/>
      <c r="DVI19" s="344"/>
      <c r="DVJ19" s="344"/>
      <c r="DVK19" s="344"/>
      <c r="DVL19" s="344"/>
      <c r="DVM19" s="344"/>
      <c r="DVN19" s="344"/>
      <c r="DVO19" s="344"/>
      <c r="DVP19" s="344"/>
      <c r="DVQ19" s="344"/>
      <c r="DVR19" s="344"/>
      <c r="DVS19" s="344"/>
      <c r="DVT19" s="344"/>
      <c r="DVU19" s="344"/>
      <c r="DVV19" s="344"/>
      <c r="DVW19" s="344"/>
      <c r="DVX19" s="344"/>
      <c r="DVY19" s="344"/>
      <c r="DVZ19" s="344"/>
      <c r="DWA19" s="344"/>
      <c r="DWB19" s="344"/>
      <c r="DWC19" s="344"/>
      <c r="DWD19" s="344"/>
      <c r="DWE19" s="344"/>
      <c r="DWF19" s="344"/>
      <c r="DWG19" s="344"/>
      <c r="DWH19" s="344"/>
      <c r="DWI19" s="344"/>
      <c r="DWJ19" s="344"/>
      <c r="DWK19" s="344"/>
      <c r="DWL19" s="344"/>
      <c r="DWM19" s="344"/>
      <c r="DWN19" s="344"/>
      <c r="DWO19" s="344"/>
      <c r="DWP19" s="344"/>
      <c r="DWQ19" s="344"/>
      <c r="DWR19" s="344"/>
      <c r="DWS19" s="344"/>
      <c r="DWT19" s="344"/>
      <c r="DWU19" s="344"/>
      <c r="DWV19" s="344"/>
      <c r="DWW19" s="344"/>
      <c r="DWX19" s="344"/>
      <c r="DWY19" s="344"/>
      <c r="DWZ19" s="344"/>
      <c r="DXA19" s="344"/>
      <c r="DXB19" s="344"/>
      <c r="DXC19" s="344"/>
      <c r="DXD19" s="344"/>
      <c r="DXE19" s="344"/>
      <c r="DXF19" s="344"/>
      <c r="DXG19" s="344"/>
      <c r="DXH19" s="344"/>
      <c r="DXI19" s="344"/>
      <c r="DXJ19" s="344"/>
      <c r="DXK19" s="344"/>
      <c r="DXL19" s="344"/>
      <c r="DXM19" s="344"/>
      <c r="DXN19" s="344"/>
      <c r="DXO19" s="344"/>
      <c r="DXP19" s="344"/>
      <c r="DXQ19" s="344"/>
      <c r="DXR19" s="344"/>
      <c r="DXS19" s="344"/>
      <c r="DXT19" s="344"/>
      <c r="DXU19" s="344"/>
      <c r="DXV19" s="344"/>
      <c r="DXW19" s="344"/>
      <c r="DXX19" s="344"/>
      <c r="DXY19" s="344"/>
      <c r="DXZ19" s="344"/>
      <c r="DYA19" s="344"/>
      <c r="DYB19" s="344"/>
      <c r="DYC19" s="344"/>
      <c r="DYD19" s="344"/>
      <c r="DYE19" s="344"/>
      <c r="DYF19" s="344"/>
      <c r="DYG19" s="344"/>
      <c r="DYH19" s="344"/>
      <c r="DYI19" s="344"/>
      <c r="DYJ19" s="344"/>
      <c r="DYK19" s="344"/>
      <c r="DYL19" s="344"/>
      <c r="DYM19" s="344"/>
      <c r="DYN19" s="344"/>
      <c r="DYO19" s="344"/>
      <c r="DYP19" s="344"/>
      <c r="DYQ19" s="344"/>
      <c r="DYR19" s="344"/>
      <c r="DYS19" s="344"/>
      <c r="DYT19" s="344"/>
      <c r="DYU19" s="344"/>
      <c r="DYV19" s="344"/>
      <c r="DYW19" s="344"/>
      <c r="DYX19" s="344"/>
      <c r="DYY19" s="344"/>
      <c r="DYZ19" s="344"/>
      <c r="DZA19" s="344"/>
      <c r="DZB19" s="344"/>
      <c r="DZC19" s="344"/>
      <c r="DZD19" s="344"/>
      <c r="DZE19" s="344"/>
      <c r="DZF19" s="344"/>
      <c r="DZG19" s="344"/>
      <c r="DZH19" s="344"/>
      <c r="DZI19" s="344"/>
      <c r="DZJ19" s="344"/>
      <c r="DZK19" s="344"/>
      <c r="DZL19" s="344"/>
      <c r="DZM19" s="344"/>
      <c r="DZN19" s="344"/>
      <c r="DZO19" s="344"/>
      <c r="DZP19" s="344"/>
      <c r="DZQ19" s="344"/>
      <c r="DZR19" s="344"/>
      <c r="DZS19" s="344"/>
      <c r="DZT19" s="344"/>
      <c r="DZU19" s="344"/>
      <c r="DZV19" s="344"/>
      <c r="DZW19" s="344"/>
      <c r="DZX19" s="344"/>
      <c r="DZY19" s="344"/>
      <c r="DZZ19" s="344"/>
      <c r="EAA19" s="344"/>
      <c r="EAB19" s="344"/>
      <c r="EAC19" s="344"/>
      <c r="EAD19" s="344"/>
      <c r="EAE19" s="344"/>
      <c r="EAF19" s="344"/>
      <c r="EAG19" s="344"/>
      <c r="EAH19" s="344"/>
      <c r="EAI19" s="344"/>
      <c r="EAJ19" s="344"/>
      <c r="EAK19" s="344"/>
      <c r="EAL19" s="344"/>
      <c r="EAM19" s="344"/>
      <c r="EAN19" s="344"/>
      <c r="EAO19" s="344"/>
      <c r="EAP19" s="344"/>
      <c r="EAQ19" s="344"/>
      <c r="EAR19" s="344"/>
      <c r="EAS19" s="344"/>
      <c r="EAT19" s="344"/>
      <c r="EAU19" s="344"/>
      <c r="EAV19" s="344"/>
      <c r="EAW19" s="344"/>
      <c r="EAX19" s="344"/>
      <c r="EAY19" s="344"/>
      <c r="EAZ19" s="344"/>
      <c r="EBA19" s="344"/>
      <c r="EBB19" s="344"/>
      <c r="EBC19" s="344"/>
      <c r="EBD19" s="344"/>
      <c r="EBE19" s="344"/>
      <c r="EBF19" s="344"/>
      <c r="EBG19" s="344"/>
      <c r="EBH19" s="344"/>
      <c r="EBI19" s="344"/>
      <c r="EBJ19" s="344"/>
      <c r="EBK19" s="344"/>
      <c r="EBL19" s="344"/>
      <c r="EBM19" s="344"/>
      <c r="EBN19" s="344"/>
      <c r="EBO19" s="344"/>
      <c r="EBP19" s="344"/>
      <c r="EBQ19" s="344"/>
      <c r="EBR19" s="344"/>
      <c r="EBS19" s="344"/>
      <c r="EBT19" s="344"/>
      <c r="EBU19" s="344"/>
      <c r="EBV19" s="344"/>
      <c r="EBW19" s="344"/>
      <c r="EBX19" s="344"/>
      <c r="EBY19" s="344"/>
      <c r="EBZ19" s="344"/>
      <c r="ECA19" s="344"/>
      <c r="ECB19" s="344"/>
      <c r="ECC19" s="344"/>
      <c r="ECD19" s="344"/>
      <c r="ECE19" s="344"/>
      <c r="ECF19" s="344"/>
      <c r="ECG19" s="344"/>
      <c r="ECH19" s="344"/>
      <c r="ECI19" s="344"/>
      <c r="ECJ19" s="344"/>
      <c r="ECK19" s="344"/>
      <c r="ECL19" s="344"/>
      <c r="ECM19" s="344"/>
      <c r="ECN19" s="344"/>
      <c r="ECO19" s="344"/>
      <c r="ECP19" s="344"/>
      <c r="ECQ19" s="344"/>
      <c r="ECR19" s="344"/>
      <c r="ECS19" s="344"/>
      <c r="ECT19" s="344"/>
      <c r="ECU19" s="344"/>
      <c r="ECV19" s="344"/>
      <c r="ECW19" s="344"/>
      <c r="ECX19" s="344"/>
      <c r="ECY19" s="344"/>
      <c r="ECZ19" s="344"/>
      <c r="EDA19" s="344"/>
      <c r="EDB19" s="344"/>
      <c r="EDC19" s="344"/>
      <c r="EDD19" s="344"/>
      <c r="EDE19" s="344"/>
      <c r="EDF19" s="344"/>
      <c r="EDG19" s="344"/>
      <c r="EDH19" s="344"/>
      <c r="EDI19" s="344"/>
      <c r="EDJ19" s="344"/>
      <c r="EDK19" s="344"/>
      <c r="EDL19" s="344"/>
      <c r="EDM19" s="344"/>
      <c r="EDN19" s="344"/>
      <c r="EDO19" s="344"/>
      <c r="EDP19" s="344"/>
      <c r="EDQ19" s="344"/>
      <c r="EDR19" s="344"/>
      <c r="EDS19" s="344"/>
      <c r="EDT19" s="344"/>
      <c r="EDU19" s="344"/>
      <c r="EDV19" s="344"/>
      <c r="EDW19" s="344"/>
      <c r="EDX19" s="344"/>
      <c r="EDY19" s="344"/>
      <c r="EDZ19" s="344"/>
      <c r="EEA19" s="344"/>
      <c r="EEB19" s="344"/>
      <c r="EEC19" s="344"/>
      <c r="EED19" s="344"/>
      <c r="EEE19" s="344"/>
      <c r="EEF19" s="344"/>
      <c r="EEG19" s="344"/>
      <c r="EEH19" s="344"/>
      <c r="EEI19" s="344"/>
      <c r="EEJ19" s="344"/>
      <c r="EEK19" s="344"/>
      <c r="EEL19" s="344"/>
      <c r="EEM19" s="344"/>
      <c r="EEN19" s="344"/>
      <c r="EEO19" s="344"/>
      <c r="EEP19" s="344"/>
      <c r="EEQ19" s="344"/>
      <c r="EER19" s="344"/>
      <c r="EES19" s="344"/>
      <c r="EET19" s="344"/>
      <c r="EEU19" s="344"/>
      <c r="EEV19" s="344"/>
      <c r="EEW19" s="344"/>
      <c r="EEX19" s="344"/>
      <c r="EEY19" s="344"/>
      <c r="EEZ19" s="344"/>
      <c r="EFA19" s="344"/>
      <c r="EFB19" s="344"/>
      <c r="EFC19" s="344"/>
      <c r="EFD19" s="344"/>
      <c r="EFE19" s="344"/>
      <c r="EFF19" s="344"/>
      <c r="EFG19" s="344"/>
      <c r="EFH19" s="344"/>
      <c r="EFI19" s="344"/>
      <c r="EFJ19" s="344"/>
      <c r="EFK19" s="344"/>
      <c r="EFL19" s="344"/>
      <c r="EFM19" s="344"/>
      <c r="EFN19" s="344"/>
      <c r="EFO19" s="344"/>
      <c r="EFP19" s="344"/>
      <c r="EFQ19" s="344"/>
      <c r="EFR19" s="344"/>
      <c r="EFS19" s="344"/>
      <c r="EFT19" s="344"/>
      <c r="EFU19" s="344"/>
      <c r="EFV19" s="344"/>
      <c r="EFW19" s="344"/>
      <c r="EFX19" s="344"/>
      <c r="EFY19" s="344"/>
      <c r="EFZ19" s="344"/>
      <c r="EGA19" s="344"/>
      <c r="EGB19" s="344"/>
      <c r="EGC19" s="344"/>
      <c r="EGD19" s="344"/>
      <c r="EGE19" s="344"/>
      <c r="EGF19" s="344"/>
      <c r="EGG19" s="344"/>
      <c r="EGH19" s="344"/>
      <c r="EGI19" s="344"/>
      <c r="EGJ19" s="344"/>
      <c r="EGK19" s="344"/>
      <c r="EGL19" s="344"/>
      <c r="EGM19" s="344"/>
      <c r="EGN19" s="344"/>
      <c r="EGO19" s="344"/>
      <c r="EGP19" s="344"/>
      <c r="EGQ19" s="344"/>
      <c r="EGR19" s="344"/>
      <c r="EGS19" s="344"/>
      <c r="EGT19" s="344"/>
      <c r="EGU19" s="344"/>
      <c r="EGV19" s="344"/>
      <c r="EGW19" s="344"/>
      <c r="EGX19" s="344"/>
      <c r="EGY19" s="344"/>
      <c r="EGZ19" s="344"/>
      <c r="EHA19" s="344"/>
      <c r="EHB19" s="344"/>
      <c r="EHC19" s="344"/>
      <c r="EHD19" s="344"/>
      <c r="EHE19" s="344"/>
      <c r="EHF19" s="344"/>
      <c r="EHG19" s="344"/>
      <c r="EHH19" s="344"/>
      <c r="EHI19" s="344"/>
      <c r="EHJ19" s="344"/>
      <c r="EHK19" s="344"/>
      <c r="EHL19" s="344"/>
      <c r="EHM19" s="344"/>
      <c r="EHN19" s="344"/>
      <c r="EHO19" s="344"/>
      <c r="EHP19" s="344"/>
      <c r="EHQ19" s="344"/>
      <c r="EHR19" s="344"/>
      <c r="EHS19" s="344"/>
      <c r="EHT19" s="344"/>
      <c r="EHU19" s="344"/>
      <c r="EHV19" s="344"/>
      <c r="EHW19" s="344"/>
      <c r="EHX19" s="344"/>
      <c r="EHY19" s="344"/>
      <c r="EHZ19" s="344"/>
      <c r="EIA19" s="344"/>
      <c r="EIB19" s="344"/>
      <c r="EIC19" s="344"/>
      <c r="EID19" s="344"/>
      <c r="EIE19" s="344"/>
      <c r="EIF19" s="344"/>
      <c r="EIG19" s="344"/>
      <c r="EIH19" s="344"/>
      <c r="EII19" s="344"/>
      <c r="EIJ19" s="344"/>
      <c r="EIK19" s="344"/>
      <c r="EIL19" s="344"/>
      <c r="EIM19" s="344"/>
      <c r="EIN19" s="344"/>
      <c r="EIO19" s="344"/>
      <c r="EIP19" s="344"/>
      <c r="EIQ19" s="344"/>
      <c r="EIR19" s="344"/>
      <c r="EIS19" s="344"/>
      <c r="EIT19" s="344"/>
      <c r="EIU19" s="344"/>
      <c r="EIV19" s="344"/>
      <c r="EIW19" s="344"/>
      <c r="EIX19" s="344"/>
      <c r="EIY19" s="344"/>
      <c r="EIZ19" s="344"/>
      <c r="EJA19" s="344"/>
      <c r="EJB19" s="344"/>
      <c r="EJC19" s="344"/>
      <c r="EJD19" s="344"/>
      <c r="EJE19" s="344"/>
      <c r="EJF19" s="344"/>
      <c r="EJG19" s="344"/>
      <c r="EJH19" s="344"/>
      <c r="EJI19" s="344"/>
      <c r="EJJ19" s="344"/>
      <c r="EJK19" s="344"/>
      <c r="EJL19" s="344"/>
      <c r="EJM19" s="344"/>
      <c r="EJN19" s="344"/>
      <c r="EJO19" s="344"/>
      <c r="EJP19" s="344"/>
      <c r="EJQ19" s="344"/>
      <c r="EJR19" s="344"/>
      <c r="EJS19" s="344"/>
      <c r="EJT19" s="344"/>
      <c r="EJU19" s="344"/>
      <c r="EJV19" s="344"/>
      <c r="EJW19" s="344"/>
      <c r="EJX19" s="344"/>
      <c r="EJY19" s="344"/>
      <c r="EJZ19" s="344"/>
      <c r="EKA19" s="344"/>
      <c r="EKB19" s="344"/>
      <c r="EKC19" s="344"/>
      <c r="EKD19" s="344"/>
      <c r="EKE19" s="344"/>
      <c r="EKF19" s="344"/>
      <c r="EKG19" s="344"/>
      <c r="EKH19" s="344"/>
      <c r="EKI19" s="344"/>
      <c r="EKJ19" s="344"/>
      <c r="EKK19" s="344"/>
      <c r="EKL19" s="344"/>
      <c r="EKM19" s="344"/>
      <c r="EKN19" s="344"/>
      <c r="EKO19" s="344"/>
      <c r="EKP19" s="344"/>
      <c r="EKQ19" s="344"/>
      <c r="EKR19" s="344"/>
      <c r="EKS19" s="344"/>
      <c r="EKT19" s="344"/>
      <c r="EKU19" s="344"/>
      <c r="EKV19" s="344"/>
      <c r="EKW19" s="344"/>
      <c r="EKX19" s="344"/>
      <c r="EKY19" s="344"/>
      <c r="EKZ19" s="344"/>
      <c r="ELA19" s="344"/>
      <c r="ELB19" s="344"/>
      <c r="ELC19" s="344"/>
      <c r="ELD19" s="344"/>
      <c r="ELE19" s="344"/>
      <c r="ELF19" s="344"/>
      <c r="ELG19" s="344"/>
      <c r="ELH19" s="344"/>
      <c r="ELI19" s="344"/>
      <c r="ELJ19" s="344"/>
      <c r="ELK19" s="344"/>
      <c r="ELL19" s="344"/>
      <c r="ELM19" s="344"/>
      <c r="ELN19" s="344"/>
      <c r="ELO19" s="344"/>
      <c r="ELP19" s="344"/>
      <c r="ELQ19" s="344"/>
      <c r="ELR19" s="344"/>
      <c r="ELS19" s="344"/>
      <c r="ELT19" s="344"/>
      <c r="ELU19" s="344"/>
      <c r="ELV19" s="344"/>
      <c r="ELW19" s="344"/>
      <c r="ELX19" s="344"/>
      <c r="ELY19" s="344"/>
      <c r="ELZ19" s="344"/>
      <c r="EMA19" s="344"/>
      <c r="EMB19" s="344"/>
      <c r="EMC19" s="344"/>
      <c r="EMD19" s="344"/>
      <c r="EME19" s="344"/>
      <c r="EMF19" s="344"/>
      <c r="EMG19" s="344"/>
      <c r="EMH19" s="344"/>
      <c r="EMI19" s="344"/>
      <c r="EMJ19" s="344"/>
      <c r="EMK19" s="344"/>
      <c r="EML19" s="344"/>
      <c r="EMM19" s="344"/>
      <c r="EMN19" s="344"/>
      <c r="EMO19" s="344"/>
      <c r="EMP19" s="344"/>
      <c r="EMQ19" s="344"/>
      <c r="EMR19" s="344"/>
      <c r="EMS19" s="344"/>
      <c r="EMT19" s="344"/>
      <c r="EMU19" s="344"/>
      <c r="EMV19" s="344"/>
      <c r="EMW19" s="344"/>
      <c r="EMX19" s="344"/>
      <c r="EMY19" s="344"/>
      <c r="EMZ19" s="344"/>
      <c r="ENA19" s="344"/>
      <c r="ENB19" s="344"/>
      <c r="ENC19" s="344"/>
      <c r="END19" s="344"/>
      <c r="ENE19" s="344"/>
      <c r="ENF19" s="344"/>
      <c r="ENG19" s="344"/>
      <c r="ENH19" s="344"/>
      <c r="ENI19" s="344"/>
      <c r="ENJ19" s="344"/>
      <c r="ENK19" s="344"/>
      <c r="ENL19" s="344"/>
      <c r="ENM19" s="344"/>
      <c r="ENN19" s="344"/>
      <c r="ENO19" s="344"/>
      <c r="ENP19" s="344"/>
      <c r="ENQ19" s="344"/>
      <c r="ENR19" s="344"/>
      <c r="ENS19" s="344"/>
      <c r="ENT19" s="344"/>
      <c r="ENU19" s="344"/>
      <c r="ENV19" s="344"/>
      <c r="ENW19" s="344"/>
      <c r="ENX19" s="344"/>
      <c r="ENY19" s="344"/>
      <c r="ENZ19" s="344"/>
      <c r="EOA19" s="344"/>
      <c r="EOB19" s="344"/>
      <c r="EOC19" s="344"/>
      <c r="EOD19" s="344"/>
      <c r="EOE19" s="344"/>
      <c r="EOF19" s="344"/>
      <c r="EOG19" s="344"/>
      <c r="EOH19" s="344"/>
      <c r="EOI19" s="344"/>
      <c r="EOJ19" s="344"/>
      <c r="EOK19" s="344"/>
      <c r="EOL19" s="344"/>
      <c r="EOM19" s="344"/>
      <c r="EON19" s="344"/>
      <c r="EOO19" s="344"/>
      <c r="EOP19" s="344"/>
      <c r="EOQ19" s="344"/>
      <c r="EOR19" s="344"/>
      <c r="EOS19" s="344"/>
      <c r="EOT19" s="344"/>
      <c r="EOU19" s="344"/>
      <c r="EOV19" s="344"/>
      <c r="EOW19" s="344"/>
      <c r="EOX19" s="344"/>
      <c r="EOY19" s="344"/>
      <c r="EOZ19" s="344"/>
      <c r="EPA19" s="344"/>
      <c r="EPB19" s="344"/>
      <c r="EPC19" s="344"/>
      <c r="EPD19" s="344"/>
      <c r="EPE19" s="344"/>
      <c r="EPF19" s="344"/>
      <c r="EPG19" s="344"/>
      <c r="EPH19" s="344"/>
      <c r="EPI19" s="344"/>
      <c r="EPJ19" s="344"/>
      <c r="EPK19" s="344"/>
      <c r="EPL19" s="344"/>
      <c r="EPM19" s="344"/>
      <c r="EPN19" s="344"/>
      <c r="EPO19" s="344"/>
      <c r="EPP19" s="344"/>
      <c r="EPQ19" s="344"/>
      <c r="EPR19" s="344"/>
      <c r="EPS19" s="344"/>
      <c r="EPT19" s="344"/>
      <c r="EPU19" s="344"/>
      <c r="EPV19" s="344"/>
      <c r="EPW19" s="344"/>
      <c r="EPX19" s="344"/>
      <c r="EPY19" s="344"/>
      <c r="EPZ19" s="344"/>
      <c r="EQA19" s="344"/>
      <c r="EQB19" s="344"/>
      <c r="EQC19" s="344"/>
      <c r="EQD19" s="344"/>
      <c r="EQE19" s="344"/>
      <c r="EQF19" s="344"/>
      <c r="EQG19" s="344"/>
      <c r="EQH19" s="344"/>
      <c r="EQI19" s="344"/>
      <c r="EQJ19" s="344"/>
      <c r="EQK19" s="344"/>
      <c r="EQL19" s="344"/>
      <c r="EQM19" s="344"/>
      <c r="EQN19" s="344"/>
      <c r="EQO19" s="344"/>
      <c r="EQP19" s="344"/>
      <c r="EQQ19" s="344"/>
      <c r="EQR19" s="344"/>
      <c r="EQS19" s="344"/>
      <c r="EQT19" s="344"/>
      <c r="EQU19" s="344"/>
      <c r="EQV19" s="344"/>
      <c r="EQW19" s="344"/>
      <c r="EQX19" s="344"/>
      <c r="EQY19" s="344"/>
      <c r="EQZ19" s="344"/>
      <c r="ERA19" s="344"/>
      <c r="ERB19" s="344"/>
      <c r="ERC19" s="344"/>
      <c r="ERD19" s="344"/>
      <c r="ERE19" s="344"/>
      <c r="ERF19" s="344"/>
      <c r="ERG19" s="344"/>
      <c r="ERH19" s="344"/>
      <c r="ERI19" s="344"/>
      <c r="ERJ19" s="344"/>
      <c r="ERK19" s="344"/>
      <c r="ERL19" s="344"/>
      <c r="ERM19" s="344"/>
      <c r="ERN19" s="344"/>
      <c r="ERO19" s="344"/>
      <c r="ERP19" s="344"/>
      <c r="ERQ19" s="344"/>
      <c r="ERR19" s="344"/>
      <c r="ERS19" s="344"/>
      <c r="ERT19" s="344"/>
      <c r="ERU19" s="344"/>
      <c r="ERV19" s="344"/>
      <c r="ERW19" s="344"/>
      <c r="ERX19" s="344"/>
      <c r="ERY19" s="344"/>
      <c r="ERZ19" s="344"/>
      <c r="ESA19" s="344"/>
      <c r="ESB19" s="344"/>
      <c r="ESC19" s="344"/>
      <c r="ESD19" s="344"/>
      <c r="ESE19" s="344"/>
      <c r="ESF19" s="344"/>
      <c r="ESG19" s="344"/>
      <c r="ESH19" s="344"/>
      <c r="ESI19" s="344"/>
      <c r="ESJ19" s="344"/>
      <c r="ESK19" s="344"/>
      <c r="ESL19" s="344"/>
      <c r="ESM19" s="344"/>
      <c r="ESN19" s="344"/>
      <c r="ESO19" s="344"/>
      <c r="ESP19" s="344"/>
      <c r="ESQ19" s="344"/>
      <c r="ESR19" s="344"/>
      <c r="ESS19" s="344"/>
      <c r="EST19" s="344"/>
      <c r="ESU19" s="344"/>
      <c r="ESV19" s="344"/>
      <c r="ESW19" s="344"/>
      <c r="ESX19" s="344"/>
      <c r="ESY19" s="344"/>
      <c r="ESZ19" s="344"/>
      <c r="ETA19" s="344"/>
      <c r="ETB19" s="344"/>
      <c r="ETC19" s="344"/>
      <c r="ETD19" s="344"/>
      <c r="ETE19" s="344"/>
      <c r="ETF19" s="344"/>
      <c r="ETG19" s="344"/>
      <c r="ETH19" s="344"/>
      <c r="ETI19" s="344"/>
      <c r="ETJ19" s="344"/>
      <c r="ETK19" s="344"/>
      <c r="ETL19" s="344"/>
      <c r="ETM19" s="344"/>
      <c r="ETN19" s="344"/>
      <c r="ETO19" s="344"/>
      <c r="ETP19" s="344"/>
      <c r="ETQ19" s="344"/>
      <c r="ETR19" s="344"/>
      <c r="ETS19" s="344"/>
      <c r="ETT19" s="344"/>
      <c r="ETU19" s="344"/>
      <c r="ETV19" s="344"/>
      <c r="ETW19" s="344"/>
      <c r="ETX19" s="344"/>
      <c r="ETY19" s="344"/>
      <c r="ETZ19" s="344"/>
      <c r="EUA19" s="344"/>
      <c r="EUB19" s="344"/>
      <c r="EUC19" s="344"/>
      <c r="EUD19" s="344"/>
      <c r="EUE19" s="344"/>
      <c r="EUF19" s="344"/>
      <c r="EUG19" s="344"/>
      <c r="EUH19" s="344"/>
      <c r="EUI19" s="344"/>
      <c r="EUJ19" s="344"/>
      <c r="EUK19" s="344"/>
      <c r="EUL19" s="344"/>
      <c r="EUM19" s="344"/>
      <c r="EUN19" s="344"/>
      <c r="EUO19" s="344"/>
      <c r="EUP19" s="344"/>
      <c r="EUQ19" s="344"/>
      <c r="EUR19" s="344"/>
      <c r="EUS19" s="344"/>
      <c r="EUT19" s="344"/>
      <c r="EUU19" s="344"/>
      <c r="EUV19" s="344"/>
      <c r="EUW19" s="344"/>
      <c r="EUX19" s="344"/>
      <c r="EUY19" s="344"/>
      <c r="EUZ19" s="344"/>
      <c r="EVA19" s="344"/>
      <c r="EVB19" s="344"/>
      <c r="EVC19" s="344"/>
      <c r="EVD19" s="344"/>
      <c r="EVE19" s="344"/>
      <c r="EVF19" s="344"/>
      <c r="EVG19" s="344"/>
      <c r="EVH19" s="344"/>
      <c r="EVI19" s="344"/>
      <c r="EVJ19" s="344"/>
      <c r="EVK19" s="344"/>
      <c r="EVL19" s="344"/>
      <c r="EVM19" s="344"/>
      <c r="EVN19" s="344"/>
      <c r="EVO19" s="344"/>
      <c r="EVP19" s="344"/>
      <c r="EVQ19" s="344"/>
      <c r="EVR19" s="344"/>
      <c r="EVS19" s="344"/>
      <c r="EVT19" s="344"/>
      <c r="EVU19" s="344"/>
      <c r="EVV19" s="344"/>
      <c r="EVW19" s="344"/>
      <c r="EVX19" s="344"/>
      <c r="EVY19" s="344"/>
      <c r="EVZ19" s="344"/>
      <c r="EWA19" s="344"/>
      <c r="EWB19" s="344"/>
      <c r="EWC19" s="344"/>
      <c r="EWD19" s="344"/>
      <c r="EWE19" s="344"/>
      <c r="EWF19" s="344"/>
      <c r="EWG19" s="344"/>
      <c r="EWH19" s="344"/>
      <c r="EWI19" s="344"/>
      <c r="EWJ19" s="344"/>
      <c r="EWK19" s="344"/>
      <c r="EWL19" s="344"/>
      <c r="EWM19" s="344"/>
      <c r="EWN19" s="344"/>
      <c r="EWO19" s="344"/>
      <c r="EWP19" s="344"/>
      <c r="EWQ19" s="344"/>
      <c r="EWR19" s="344"/>
      <c r="EWS19" s="344"/>
      <c r="EWT19" s="344"/>
      <c r="EWU19" s="344"/>
      <c r="EWV19" s="344"/>
      <c r="EWW19" s="344"/>
      <c r="EWX19" s="344"/>
      <c r="EWY19" s="344"/>
      <c r="EWZ19" s="344"/>
      <c r="EXA19" s="344"/>
      <c r="EXB19" s="344"/>
      <c r="EXC19" s="344"/>
      <c r="EXD19" s="344"/>
      <c r="EXE19" s="344"/>
      <c r="EXF19" s="344"/>
      <c r="EXG19" s="344"/>
      <c r="EXH19" s="344"/>
      <c r="EXI19" s="344"/>
      <c r="EXJ19" s="344"/>
      <c r="EXK19" s="344"/>
      <c r="EXL19" s="344"/>
      <c r="EXM19" s="344"/>
      <c r="EXN19" s="344"/>
      <c r="EXO19" s="344"/>
      <c r="EXP19" s="344"/>
      <c r="EXQ19" s="344"/>
      <c r="EXR19" s="344"/>
      <c r="EXS19" s="344"/>
      <c r="EXT19" s="344"/>
      <c r="EXU19" s="344"/>
      <c r="EXV19" s="344"/>
      <c r="EXW19" s="344"/>
      <c r="EXX19" s="344"/>
      <c r="EXY19" s="344"/>
      <c r="EXZ19" s="344"/>
      <c r="EYA19" s="344"/>
      <c r="EYB19" s="344"/>
      <c r="EYC19" s="344"/>
      <c r="EYD19" s="344"/>
      <c r="EYE19" s="344"/>
      <c r="EYF19" s="344"/>
      <c r="EYG19" s="344"/>
      <c r="EYH19" s="344"/>
      <c r="EYI19" s="344"/>
      <c r="EYJ19" s="344"/>
      <c r="EYK19" s="344"/>
      <c r="EYL19" s="344"/>
      <c r="EYM19" s="344"/>
      <c r="EYN19" s="344"/>
      <c r="EYO19" s="344"/>
      <c r="EYP19" s="344"/>
      <c r="EYQ19" s="344"/>
      <c r="EYR19" s="344"/>
      <c r="EYS19" s="344"/>
      <c r="EYT19" s="344"/>
      <c r="EYU19" s="344"/>
      <c r="EYV19" s="344"/>
      <c r="EYW19" s="344"/>
      <c r="EYX19" s="344"/>
      <c r="EYY19" s="344"/>
      <c r="EYZ19" s="344"/>
      <c r="EZA19" s="344"/>
      <c r="EZB19" s="344"/>
      <c r="EZC19" s="344"/>
      <c r="EZD19" s="344"/>
      <c r="EZE19" s="344"/>
      <c r="EZF19" s="344"/>
      <c r="EZG19" s="344"/>
      <c r="EZH19" s="344"/>
      <c r="EZI19" s="344"/>
      <c r="EZJ19" s="344"/>
      <c r="EZK19" s="344"/>
      <c r="EZL19" s="344"/>
      <c r="EZM19" s="344"/>
      <c r="EZN19" s="344"/>
      <c r="EZO19" s="344"/>
      <c r="EZP19" s="344"/>
      <c r="EZQ19" s="344"/>
      <c r="EZR19" s="344"/>
      <c r="EZS19" s="344"/>
      <c r="EZT19" s="344"/>
      <c r="EZU19" s="344"/>
      <c r="EZV19" s="344"/>
      <c r="EZW19" s="344"/>
      <c r="EZX19" s="344"/>
      <c r="EZY19" s="344"/>
      <c r="EZZ19" s="344"/>
      <c r="FAA19" s="344"/>
      <c r="FAB19" s="344"/>
      <c r="FAC19" s="344"/>
      <c r="FAD19" s="344"/>
      <c r="FAE19" s="344"/>
      <c r="FAF19" s="344"/>
      <c r="FAG19" s="344"/>
      <c r="FAH19" s="344"/>
      <c r="FAI19" s="344"/>
      <c r="FAJ19" s="344"/>
      <c r="FAK19" s="344"/>
      <c r="FAL19" s="344"/>
      <c r="FAM19" s="344"/>
      <c r="FAN19" s="344"/>
      <c r="FAO19" s="344"/>
      <c r="FAP19" s="344"/>
      <c r="FAQ19" s="344"/>
      <c r="FAR19" s="344"/>
      <c r="FAS19" s="344"/>
      <c r="FAT19" s="344"/>
      <c r="FAU19" s="344"/>
      <c r="FAV19" s="344"/>
      <c r="FAW19" s="344"/>
      <c r="FAX19" s="344"/>
      <c r="FAY19" s="344"/>
      <c r="FAZ19" s="344"/>
      <c r="FBA19" s="344"/>
      <c r="FBB19" s="344"/>
      <c r="FBC19" s="344"/>
      <c r="FBD19" s="344"/>
      <c r="FBE19" s="344"/>
      <c r="FBF19" s="344"/>
      <c r="FBG19" s="344"/>
      <c r="FBH19" s="344"/>
      <c r="FBI19" s="344"/>
      <c r="FBJ19" s="344"/>
      <c r="FBK19" s="344"/>
      <c r="FBL19" s="344"/>
      <c r="FBM19" s="344"/>
      <c r="FBN19" s="344"/>
      <c r="FBO19" s="344"/>
      <c r="FBP19" s="344"/>
      <c r="FBQ19" s="344"/>
      <c r="FBR19" s="344"/>
      <c r="FBS19" s="344"/>
      <c r="FBT19" s="344"/>
      <c r="FBU19" s="344"/>
      <c r="FBV19" s="344"/>
      <c r="FBW19" s="344"/>
      <c r="FBX19" s="344"/>
      <c r="FBY19" s="344"/>
      <c r="FBZ19" s="344"/>
      <c r="FCA19" s="344"/>
      <c r="FCB19" s="344"/>
      <c r="FCC19" s="344"/>
      <c r="FCD19" s="344"/>
      <c r="FCE19" s="344"/>
      <c r="FCF19" s="344"/>
      <c r="FCG19" s="344"/>
      <c r="FCH19" s="344"/>
      <c r="FCI19" s="344"/>
      <c r="FCJ19" s="344"/>
      <c r="FCK19" s="344"/>
      <c r="FCL19" s="344"/>
      <c r="FCM19" s="344"/>
      <c r="FCN19" s="344"/>
      <c r="FCO19" s="344"/>
      <c r="FCP19" s="344"/>
      <c r="FCQ19" s="344"/>
      <c r="FCR19" s="344"/>
      <c r="FCS19" s="344"/>
      <c r="FCT19" s="344"/>
      <c r="FCU19" s="344"/>
      <c r="FCV19" s="344"/>
      <c r="FCW19" s="344"/>
      <c r="FCX19" s="344"/>
      <c r="FCY19" s="344"/>
      <c r="FCZ19" s="344"/>
      <c r="FDA19" s="344"/>
      <c r="FDB19" s="344"/>
      <c r="FDC19" s="344"/>
      <c r="FDD19" s="344"/>
      <c r="FDE19" s="344"/>
      <c r="FDF19" s="344"/>
      <c r="FDG19" s="344"/>
      <c r="FDH19" s="344"/>
      <c r="FDI19" s="344"/>
      <c r="FDJ19" s="344"/>
      <c r="FDK19" s="344"/>
      <c r="FDL19" s="344"/>
      <c r="FDM19" s="344"/>
      <c r="FDN19" s="344"/>
      <c r="FDO19" s="344"/>
      <c r="FDP19" s="344"/>
      <c r="FDQ19" s="344"/>
      <c r="FDR19" s="344"/>
      <c r="FDS19" s="344"/>
      <c r="FDT19" s="344"/>
      <c r="FDU19" s="344"/>
      <c r="FDV19" s="344"/>
      <c r="FDW19" s="344"/>
      <c r="FDX19" s="344"/>
      <c r="FDY19" s="344"/>
      <c r="FDZ19" s="344"/>
      <c r="FEA19" s="344"/>
      <c r="FEB19" s="344"/>
      <c r="FEC19" s="344"/>
      <c r="FED19" s="344"/>
      <c r="FEE19" s="344"/>
      <c r="FEF19" s="344"/>
      <c r="FEG19" s="344"/>
      <c r="FEH19" s="344"/>
      <c r="FEI19" s="344"/>
      <c r="FEJ19" s="344"/>
      <c r="FEK19" s="344"/>
      <c r="FEL19" s="344"/>
      <c r="FEM19" s="344"/>
      <c r="FEN19" s="344"/>
      <c r="FEO19" s="344"/>
      <c r="FEP19" s="344"/>
      <c r="FEQ19" s="344"/>
      <c r="FER19" s="344"/>
      <c r="FES19" s="344"/>
      <c r="FET19" s="344"/>
      <c r="FEU19" s="344"/>
      <c r="FEV19" s="344"/>
      <c r="FEW19" s="344"/>
      <c r="FEX19" s="344"/>
      <c r="FEY19" s="344"/>
      <c r="FEZ19" s="344"/>
      <c r="FFA19" s="344"/>
      <c r="FFB19" s="344"/>
      <c r="FFC19" s="344"/>
      <c r="FFD19" s="344"/>
      <c r="FFE19" s="344"/>
      <c r="FFF19" s="344"/>
      <c r="FFG19" s="344"/>
      <c r="FFH19" s="344"/>
      <c r="FFI19" s="344"/>
      <c r="FFJ19" s="344"/>
      <c r="FFK19" s="344"/>
      <c r="FFL19" s="344"/>
      <c r="FFM19" s="344"/>
      <c r="FFN19" s="344"/>
      <c r="FFO19" s="344"/>
      <c r="FFP19" s="344"/>
      <c r="FFQ19" s="344"/>
      <c r="FFR19" s="344"/>
      <c r="FFS19" s="344"/>
      <c r="FFT19" s="344"/>
      <c r="FFU19" s="344"/>
      <c r="FFV19" s="344"/>
      <c r="FFW19" s="344"/>
      <c r="FFX19" s="344"/>
      <c r="FFY19" s="344"/>
      <c r="FFZ19" s="344"/>
      <c r="FGA19" s="344"/>
      <c r="FGB19" s="344"/>
      <c r="FGC19" s="344"/>
      <c r="FGD19" s="344"/>
      <c r="FGE19" s="344"/>
      <c r="FGF19" s="344"/>
      <c r="FGG19" s="344"/>
      <c r="FGH19" s="344"/>
      <c r="FGI19" s="344"/>
      <c r="FGJ19" s="344"/>
      <c r="FGK19" s="344"/>
      <c r="FGL19" s="344"/>
      <c r="FGM19" s="344"/>
      <c r="FGN19" s="344"/>
      <c r="FGO19" s="344"/>
      <c r="FGP19" s="344"/>
      <c r="FGQ19" s="344"/>
      <c r="FGR19" s="344"/>
      <c r="FGS19" s="344"/>
      <c r="FGT19" s="344"/>
      <c r="FGU19" s="344"/>
      <c r="FGV19" s="344"/>
      <c r="FGW19" s="344"/>
      <c r="FGX19" s="344"/>
      <c r="FGY19" s="344"/>
      <c r="FGZ19" s="344"/>
      <c r="FHA19" s="344"/>
      <c r="FHB19" s="344"/>
      <c r="FHC19" s="344"/>
      <c r="FHD19" s="344"/>
      <c r="FHE19" s="344"/>
      <c r="FHF19" s="344"/>
      <c r="FHG19" s="344"/>
      <c r="FHH19" s="344"/>
      <c r="FHI19" s="344"/>
      <c r="FHJ19" s="344"/>
      <c r="FHK19" s="344"/>
      <c r="FHL19" s="344"/>
      <c r="FHM19" s="344"/>
      <c r="FHN19" s="344"/>
      <c r="FHO19" s="344"/>
      <c r="FHP19" s="344"/>
      <c r="FHQ19" s="344"/>
      <c r="FHR19" s="344"/>
      <c r="FHS19" s="344"/>
      <c r="FHT19" s="344"/>
      <c r="FHU19" s="344"/>
      <c r="FHV19" s="344"/>
      <c r="FHW19" s="344"/>
      <c r="FHX19" s="344"/>
      <c r="FHY19" s="344"/>
      <c r="FHZ19" s="344"/>
      <c r="FIA19" s="344"/>
      <c r="FIB19" s="344"/>
      <c r="FIC19" s="344"/>
      <c r="FID19" s="344"/>
      <c r="FIE19" s="344"/>
      <c r="FIF19" s="344"/>
      <c r="FIG19" s="344"/>
      <c r="FIH19" s="344"/>
      <c r="FII19" s="344"/>
      <c r="FIJ19" s="344"/>
      <c r="FIK19" s="344"/>
      <c r="FIL19" s="344"/>
      <c r="FIM19" s="344"/>
      <c r="FIN19" s="344"/>
      <c r="FIO19" s="344"/>
      <c r="FIP19" s="344"/>
      <c r="FIQ19" s="344"/>
      <c r="FIR19" s="344"/>
      <c r="FIS19" s="344"/>
      <c r="FIT19" s="344"/>
      <c r="FIU19" s="344"/>
      <c r="FIV19" s="344"/>
      <c r="FIW19" s="344"/>
      <c r="FIX19" s="344"/>
      <c r="FIY19" s="344"/>
      <c r="FIZ19" s="344"/>
      <c r="FJA19" s="344"/>
      <c r="FJB19" s="344"/>
      <c r="FJC19" s="344"/>
      <c r="FJD19" s="344"/>
      <c r="FJE19" s="344"/>
      <c r="FJF19" s="344"/>
      <c r="FJG19" s="344"/>
      <c r="FJH19" s="344"/>
      <c r="FJI19" s="344"/>
      <c r="FJJ19" s="344"/>
      <c r="FJK19" s="344"/>
      <c r="FJL19" s="344"/>
      <c r="FJM19" s="344"/>
      <c r="FJN19" s="344"/>
      <c r="FJO19" s="344"/>
      <c r="FJP19" s="344"/>
      <c r="FJQ19" s="344"/>
      <c r="FJR19" s="344"/>
      <c r="FJS19" s="344"/>
      <c r="FJT19" s="344"/>
      <c r="FJU19" s="344"/>
      <c r="FJV19" s="344"/>
      <c r="FJW19" s="344"/>
      <c r="FJX19" s="344"/>
      <c r="FJY19" s="344"/>
      <c r="FJZ19" s="344"/>
      <c r="FKA19" s="344"/>
      <c r="FKB19" s="344"/>
      <c r="FKC19" s="344"/>
      <c r="FKD19" s="344"/>
      <c r="FKE19" s="344"/>
      <c r="FKF19" s="344"/>
      <c r="FKG19" s="344"/>
      <c r="FKH19" s="344"/>
      <c r="FKI19" s="344"/>
      <c r="FKJ19" s="344"/>
      <c r="FKK19" s="344"/>
      <c r="FKL19" s="344"/>
      <c r="FKM19" s="344"/>
      <c r="FKN19" s="344"/>
      <c r="FKO19" s="344"/>
      <c r="FKP19" s="344"/>
      <c r="FKQ19" s="344"/>
      <c r="FKR19" s="344"/>
      <c r="FKS19" s="344"/>
      <c r="FKT19" s="344"/>
      <c r="FKU19" s="344"/>
      <c r="FKV19" s="344"/>
      <c r="FKW19" s="344"/>
      <c r="FKX19" s="344"/>
      <c r="FKY19" s="344"/>
      <c r="FKZ19" s="344"/>
      <c r="FLA19" s="344"/>
      <c r="FLB19" s="344"/>
      <c r="FLC19" s="344"/>
      <c r="FLD19" s="344"/>
      <c r="FLE19" s="344"/>
      <c r="FLF19" s="344"/>
      <c r="FLG19" s="344"/>
      <c r="FLH19" s="344"/>
      <c r="FLI19" s="344"/>
      <c r="FLJ19" s="344"/>
      <c r="FLK19" s="344"/>
      <c r="FLL19" s="344"/>
      <c r="FLM19" s="344"/>
      <c r="FLN19" s="344"/>
      <c r="FLO19" s="344"/>
      <c r="FLP19" s="344"/>
      <c r="FLQ19" s="344"/>
      <c r="FLR19" s="344"/>
      <c r="FLS19" s="344"/>
      <c r="FLT19" s="344"/>
      <c r="FLU19" s="344"/>
      <c r="FLV19" s="344"/>
      <c r="FLW19" s="344"/>
      <c r="FLX19" s="344"/>
      <c r="FLY19" s="344"/>
      <c r="FLZ19" s="344"/>
      <c r="FMA19" s="344"/>
      <c r="FMB19" s="344"/>
      <c r="FMC19" s="344"/>
      <c r="FMD19" s="344"/>
      <c r="FME19" s="344"/>
      <c r="FMF19" s="344"/>
      <c r="FMG19" s="344"/>
      <c r="FMH19" s="344"/>
      <c r="FMI19" s="344"/>
      <c r="FMJ19" s="344"/>
      <c r="FMK19" s="344"/>
      <c r="FML19" s="344"/>
      <c r="FMM19" s="344"/>
      <c r="FMN19" s="344"/>
      <c r="FMO19" s="344"/>
      <c r="FMP19" s="344"/>
      <c r="FMQ19" s="344"/>
      <c r="FMR19" s="344"/>
      <c r="FMS19" s="344"/>
      <c r="FMT19" s="344"/>
      <c r="FMU19" s="344"/>
      <c r="FMV19" s="344"/>
      <c r="FMW19" s="344"/>
      <c r="FMX19" s="344"/>
      <c r="FMY19" s="344"/>
      <c r="FMZ19" s="344"/>
      <c r="FNA19" s="344"/>
      <c r="FNB19" s="344"/>
      <c r="FNC19" s="344"/>
      <c r="FND19" s="344"/>
      <c r="FNE19" s="344"/>
      <c r="FNF19" s="344"/>
      <c r="FNG19" s="344"/>
      <c r="FNH19" s="344"/>
      <c r="FNI19" s="344"/>
      <c r="FNJ19" s="344"/>
      <c r="FNK19" s="344"/>
      <c r="FNL19" s="344"/>
      <c r="FNM19" s="344"/>
      <c r="FNN19" s="344"/>
      <c r="FNO19" s="344"/>
      <c r="FNP19" s="344"/>
      <c r="FNQ19" s="344"/>
      <c r="FNR19" s="344"/>
      <c r="FNS19" s="344"/>
      <c r="FNT19" s="344"/>
      <c r="FNU19" s="344"/>
      <c r="FNV19" s="344"/>
      <c r="FNW19" s="344"/>
      <c r="FNX19" s="344"/>
      <c r="FNY19" s="344"/>
      <c r="FNZ19" s="344"/>
      <c r="FOA19" s="344"/>
      <c r="FOB19" s="344"/>
      <c r="FOC19" s="344"/>
      <c r="FOD19" s="344"/>
      <c r="FOE19" s="344"/>
      <c r="FOF19" s="344"/>
      <c r="FOG19" s="344"/>
      <c r="FOH19" s="344"/>
      <c r="FOI19" s="344"/>
      <c r="FOJ19" s="344"/>
      <c r="FOK19" s="344"/>
      <c r="FOL19" s="344"/>
      <c r="FOM19" s="344"/>
      <c r="FON19" s="344"/>
      <c r="FOO19" s="344"/>
      <c r="FOP19" s="344"/>
      <c r="FOQ19" s="344"/>
      <c r="FOR19" s="344"/>
      <c r="FOS19" s="344"/>
      <c r="FOT19" s="344"/>
      <c r="FOU19" s="344"/>
      <c r="FOV19" s="344"/>
      <c r="FOW19" s="344"/>
      <c r="FOX19" s="344"/>
      <c r="FOY19" s="344"/>
      <c r="FOZ19" s="344"/>
      <c r="FPA19" s="344"/>
      <c r="FPB19" s="344"/>
      <c r="FPC19" s="344"/>
      <c r="FPD19" s="344"/>
      <c r="FPE19" s="344"/>
      <c r="FPF19" s="344"/>
      <c r="FPG19" s="344"/>
      <c r="FPH19" s="344"/>
      <c r="FPI19" s="344"/>
      <c r="FPJ19" s="344"/>
      <c r="FPK19" s="344"/>
      <c r="FPL19" s="344"/>
      <c r="FPM19" s="344"/>
      <c r="FPN19" s="344"/>
      <c r="FPO19" s="344"/>
      <c r="FPP19" s="344"/>
      <c r="FPQ19" s="344"/>
      <c r="FPR19" s="344"/>
      <c r="FPS19" s="344"/>
      <c r="FPT19" s="344"/>
      <c r="FPU19" s="344"/>
      <c r="FPV19" s="344"/>
      <c r="FPW19" s="344"/>
      <c r="FPX19" s="344"/>
      <c r="FPY19" s="344"/>
      <c r="FPZ19" s="344"/>
      <c r="FQA19" s="344"/>
      <c r="FQB19" s="344"/>
      <c r="FQC19" s="344"/>
      <c r="FQD19" s="344"/>
      <c r="FQE19" s="344"/>
      <c r="FQF19" s="344"/>
      <c r="FQG19" s="344"/>
      <c r="FQH19" s="344"/>
      <c r="FQI19" s="344"/>
      <c r="FQJ19" s="344"/>
      <c r="FQK19" s="344"/>
      <c r="FQL19" s="344"/>
      <c r="FQM19" s="344"/>
      <c r="FQN19" s="344"/>
      <c r="FQO19" s="344"/>
      <c r="FQP19" s="344"/>
      <c r="FQQ19" s="344"/>
      <c r="FQR19" s="344"/>
      <c r="FQS19" s="344"/>
      <c r="FQT19" s="344"/>
      <c r="FQU19" s="344"/>
      <c r="FQV19" s="344"/>
      <c r="FQW19" s="344"/>
      <c r="FQX19" s="344"/>
      <c r="FQY19" s="344"/>
      <c r="FQZ19" s="344"/>
      <c r="FRA19" s="344"/>
      <c r="FRB19" s="344"/>
      <c r="FRC19" s="344"/>
      <c r="FRD19" s="344"/>
      <c r="FRE19" s="344"/>
      <c r="FRF19" s="344"/>
      <c r="FRG19" s="344"/>
      <c r="FRH19" s="344"/>
      <c r="FRI19" s="344"/>
      <c r="FRJ19" s="344"/>
      <c r="FRK19" s="344"/>
      <c r="FRL19" s="344"/>
      <c r="FRM19" s="344"/>
      <c r="FRN19" s="344"/>
      <c r="FRO19" s="344"/>
      <c r="FRP19" s="344"/>
      <c r="FRQ19" s="344"/>
      <c r="FRR19" s="344"/>
      <c r="FRS19" s="344"/>
      <c r="FRT19" s="344"/>
      <c r="FRU19" s="344"/>
      <c r="FRV19" s="344"/>
      <c r="FRW19" s="344"/>
      <c r="FRX19" s="344"/>
      <c r="FRY19" s="344"/>
      <c r="FRZ19" s="344"/>
      <c r="FSA19" s="344"/>
      <c r="FSB19" s="344"/>
      <c r="FSC19" s="344"/>
      <c r="FSD19" s="344"/>
      <c r="FSE19" s="344"/>
      <c r="FSF19" s="344"/>
      <c r="FSG19" s="344"/>
      <c r="FSH19" s="344"/>
      <c r="FSI19" s="344"/>
      <c r="FSJ19" s="344"/>
      <c r="FSK19" s="344"/>
      <c r="FSL19" s="344"/>
      <c r="FSM19" s="344"/>
      <c r="FSN19" s="344"/>
      <c r="FSO19" s="344"/>
      <c r="FSP19" s="344"/>
      <c r="FSQ19" s="344"/>
      <c r="FSR19" s="344"/>
      <c r="FSS19" s="344"/>
      <c r="FST19" s="344"/>
      <c r="FSU19" s="344"/>
      <c r="FSV19" s="344"/>
      <c r="FSW19" s="344"/>
      <c r="FSX19" s="344"/>
      <c r="FSY19" s="344"/>
      <c r="FSZ19" s="344"/>
      <c r="FTA19" s="344"/>
      <c r="FTB19" s="344"/>
      <c r="FTC19" s="344"/>
      <c r="FTD19" s="344"/>
      <c r="FTE19" s="344"/>
      <c r="FTF19" s="344"/>
      <c r="FTG19" s="344"/>
      <c r="FTH19" s="344"/>
      <c r="FTI19" s="344"/>
      <c r="FTJ19" s="344"/>
      <c r="FTK19" s="344"/>
      <c r="FTL19" s="344"/>
      <c r="FTM19" s="344"/>
      <c r="FTN19" s="344"/>
      <c r="FTO19" s="344"/>
      <c r="FTP19" s="344"/>
      <c r="FTQ19" s="344"/>
      <c r="FTR19" s="344"/>
      <c r="FTS19" s="344"/>
      <c r="FTT19" s="344"/>
      <c r="FTU19" s="344"/>
      <c r="FTV19" s="344"/>
      <c r="FTW19" s="344"/>
      <c r="FTX19" s="344"/>
      <c r="FTY19" s="344"/>
      <c r="FTZ19" s="344"/>
      <c r="FUA19" s="344"/>
      <c r="FUB19" s="344"/>
      <c r="FUC19" s="344"/>
      <c r="FUD19" s="344"/>
      <c r="FUE19" s="344"/>
      <c r="FUF19" s="344"/>
      <c r="FUG19" s="344"/>
      <c r="FUH19" s="344"/>
      <c r="FUI19" s="344"/>
      <c r="FUJ19" s="344"/>
      <c r="FUK19" s="344"/>
      <c r="FUL19" s="344"/>
      <c r="FUM19" s="344"/>
      <c r="FUN19" s="344"/>
      <c r="FUO19" s="344"/>
      <c r="FUP19" s="344"/>
      <c r="FUQ19" s="344"/>
      <c r="FUR19" s="344"/>
      <c r="FUS19" s="344"/>
      <c r="FUT19" s="344"/>
      <c r="FUU19" s="344"/>
      <c r="FUV19" s="344"/>
      <c r="FUW19" s="344"/>
      <c r="FUX19" s="344"/>
      <c r="FUY19" s="344"/>
      <c r="FUZ19" s="344"/>
      <c r="FVA19" s="344"/>
      <c r="FVB19" s="344"/>
      <c r="FVC19" s="344"/>
      <c r="FVD19" s="344"/>
      <c r="FVE19" s="344"/>
      <c r="FVF19" s="344"/>
      <c r="FVG19" s="344"/>
      <c r="FVH19" s="344"/>
      <c r="FVI19" s="344"/>
      <c r="FVJ19" s="344"/>
      <c r="FVK19" s="344"/>
      <c r="FVL19" s="344"/>
      <c r="FVM19" s="344"/>
      <c r="FVN19" s="344"/>
      <c r="FVO19" s="344"/>
      <c r="FVP19" s="344"/>
      <c r="FVQ19" s="344"/>
      <c r="FVR19" s="344"/>
      <c r="FVS19" s="344"/>
      <c r="FVT19" s="344"/>
      <c r="FVU19" s="344"/>
      <c r="FVV19" s="344"/>
      <c r="FVW19" s="344"/>
      <c r="FVX19" s="344"/>
      <c r="FVY19" s="344"/>
      <c r="FVZ19" s="344"/>
      <c r="FWA19" s="344"/>
      <c r="FWB19" s="344"/>
      <c r="FWC19" s="344"/>
      <c r="FWD19" s="344"/>
      <c r="FWE19" s="344"/>
      <c r="FWF19" s="344"/>
      <c r="FWG19" s="344"/>
      <c r="FWH19" s="344"/>
      <c r="FWI19" s="344"/>
      <c r="FWJ19" s="344"/>
      <c r="FWK19" s="344"/>
      <c r="FWL19" s="344"/>
      <c r="FWM19" s="344"/>
      <c r="FWN19" s="344"/>
      <c r="FWO19" s="344"/>
      <c r="FWP19" s="344"/>
      <c r="FWQ19" s="344"/>
      <c r="FWR19" s="344"/>
      <c r="FWS19" s="344"/>
      <c r="FWT19" s="344"/>
      <c r="FWU19" s="344"/>
      <c r="FWV19" s="344"/>
      <c r="FWW19" s="344"/>
      <c r="FWX19" s="344"/>
      <c r="FWY19" s="344"/>
      <c r="FWZ19" s="344"/>
      <c r="FXA19" s="344"/>
      <c r="FXB19" s="344"/>
      <c r="FXC19" s="344"/>
      <c r="FXD19" s="344"/>
      <c r="FXE19" s="344"/>
      <c r="FXF19" s="344"/>
      <c r="FXG19" s="344"/>
      <c r="FXH19" s="344"/>
      <c r="FXI19" s="344"/>
      <c r="FXJ19" s="344"/>
      <c r="FXK19" s="344"/>
      <c r="FXL19" s="344"/>
      <c r="FXM19" s="344"/>
      <c r="FXN19" s="344"/>
      <c r="FXO19" s="344"/>
      <c r="FXP19" s="344"/>
      <c r="FXQ19" s="344"/>
      <c r="FXR19" s="344"/>
      <c r="FXS19" s="344"/>
      <c r="FXT19" s="344"/>
      <c r="FXU19" s="344"/>
      <c r="FXV19" s="344"/>
      <c r="FXW19" s="344"/>
      <c r="FXX19" s="344"/>
      <c r="FXY19" s="344"/>
      <c r="FXZ19" s="344"/>
      <c r="FYA19" s="344"/>
      <c r="FYB19" s="344"/>
      <c r="FYC19" s="344"/>
      <c r="FYD19" s="344"/>
      <c r="FYE19" s="344"/>
      <c r="FYF19" s="344"/>
      <c r="FYG19" s="344"/>
      <c r="FYH19" s="344"/>
      <c r="FYI19" s="344"/>
      <c r="FYJ19" s="344"/>
      <c r="FYK19" s="344"/>
      <c r="FYL19" s="344"/>
      <c r="FYM19" s="344"/>
      <c r="FYN19" s="344"/>
      <c r="FYO19" s="344"/>
      <c r="FYP19" s="344"/>
      <c r="FYQ19" s="344"/>
      <c r="FYR19" s="344"/>
      <c r="FYS19" s="344"/>
      <c r="FYT19" s="344"/>
      <c r="FYU19" s="344"/>
      <c r="FYV19" s="344"/>
      <c r="FYW19" s="344"/>
      <c r="FYX19" s="344"/>
      <c r="FYY19" s="344"/>
      <c r="FYZ19" s="344"/>
      <c r="FZA19" s="344"/>
      <c r="FZB19" s="344"/>
      <c r="FZC19" s="344"/>
      <c r="FZD19" s="344"/>
      <c r="FZE19" s="344"/>
      <c r="FZF19" s="344"/>
      <c r="FZG19" s="344"/>
      <c r="FZH19" s="344"/>
      <c r="FZI19" s="344"/>
      <c r="FZJ19" s="344"/>
      <c r="FZK19" s="344"/>
      <c r="FZL19" s="344"/>
      <c r="FZM19" s="344"/>
      <c r="FZN19" s="344"/>
      <c r="FZO19" s="344"/>
      <c r="FZP19" s="344"/>
      <c r="FZQ19" s="344"/>
      <c r="FZR19" s="344"/>
      <c r="FZS19" s="344"/>
      <c r="FZT19" s="344"/>
      <c r="FZU19" s="344"/>
      <c r="FZV19" s="344"/>
      <c r="FZW19" s="344"/>
      <c r="FZX19" s="344"/>
      <c r="FZY19" s="344"/>
      <c r="FZZ19" s="344"/>
      <c r="GAA19" s="344"/>
      <c r="GAB19" s="344"/>
      <c r="GAC19" s="344"/>
      <c r="GAD19" s="344"/>
      <c r="GAE19" s="344"/>
      <c r="GAF19" s="344"/>
      <c r="GAG19" s="344"/>
      <c r="GAH19" s="344"/>
      <c r="GAI19" s="344"/>
      <c r="GAJ19" s="344"/>
      <c r="GAK19" s="344"/>
      <c r="GAL19" s="344"/>
      <c r="GAM19" s="344"/>
      <c r="GAN19" s="344"/>
      <c r="GAO19" s="344"/>
      <c r="GAP19" s="344"/>
      <c r="GAQ19" s="344"/>
      <c r="GAR19" s="344"/>
      <c r="GAS19" s="344"/>
      <c r="GAT19" s="344"/>
      <c r="GAU19" s="344"/>
      <c r="GAV19" s="344"/>
      <c r="GAW19" s="344"/>
      <c r="GAX19" s="344"/>
      <c r="GAY19" s="344"/>
      <c r="GAZ19" s="344"/>
      <c r="GBA19" s="344"/>
      <c r="GBB19" s="344"/>
      <c r="GBC19" s="344"/>
      <c r="GBD19" s="344"/>
      <c r="GBE19" s="344"/>
      <c r="GBF19" s="344"/>
      <c r="GBG19" s="344"/>
      <c r="GBH19" s="344"/>
      <c r="GBI19" s="344"/>
      <c r="GBJ19" s="344"/>
      <c r="GBK19" s="344"/>
      <c r="GBL19" s="344"/>
      <c r="GBM19" s="344"/>
      <c r="GBN19" s="344"/>
      <c r="GBO19" s="344"/>
      <c r="GBP19" s="344"/>
      <c r="GBQ19" s="344"/>
      <c r="GBR19" s="344"/>
      <c r="GBS19" s="344"/>
      <c r="GBT19" s="344"/>
      <c r="GBU19" s="344"/>
      <c r="GBV19" s="344"/>
      <c r="GBW19" s="344"/>
      <c r="GBX19" s="344"/>
      <c r="GBY19" s="344"/>
      <c r="GBZ19" s="344"/>
      <c r="GCA19" s="344"/>
      <c r="GCB19" s="344"/>
      <c r="GCC19" s="344"/>
      <c r="GCD19" s="344"/>
      <c r="GCE19" s="344"/>
      <c r="GCF19" s="344"/>
      <c r="GCG19" s="344"/>
      <c r="GCH19" s="344"/>
      <c r="GCI19" s="344"/>
      <c r="GCJ19" s="344"/>
      <c r="GCK19" s="344"/>
      <c r="GCL19" s="344"/>
      <c r="GCM19" s="344"/>
      <c r="GCN19" s="344"/>
      <c r="GCO19" s="344"/>
      <c r="GCP19" s="344"/>
      <c r="GCQ19" s="344"/>
      <c r="GCR19" s="344"/>
      <c r="GCS19" s="344"/>
      <c r="GCT19" s="344"/>
      <c r="GCU19" s="344"/>
      <c r="GCV19" s="344"/>
      <c r="GCW19" s="344"/>
      <c r="GCX19" s="344"/>
      <c r="GCY19" s="344"/>
      <c r="GCZ19" s="344"/>
      <c r="GDA19" s="344"/>
      <c r="GDB19" s="344"/>
      <c r="GDC19" s="344"/>
      <c r="GDD19" s="344"/>
      <c r="GDE19" s="344"/>
      <c r="GDF19" s="344"/>
      <c r="GDG19" s="344"/>
      <c r="GDH19" s="344"/>
      <c r="GDI19" s="344"/>
      <c r="GDJ19" s="344"/>
      <c r="GDK19" s="344"/>
      <c r="GDL19" s="344"/>
      <c r="GDM19" s="344"/>
      <c r="GDN19" s="344"/>
      <c r="GDO19" s="344"/>
      <c r="GDP19" s="344"/>
      <c r="GDQ19" s="344"/>
      <c r="GDR19" s="344"/>
      <c r="GDS19" s="344"/>
      <c r="GDT19" s="344"/>
      <c r="GDU19" s="344"/>
      <c r="GDV19" s="344"/>
      <c r="GDW19" s="344"/>
      <c r="GDX19" s="344"/>
      <c r="GDY19" s="344"/>
      <c r="GDZ19" s="344"/>
      <c r="GEA19" s="344"/>
      <c r="GEB19" s="344"/>
      <c r="GEC19" s="344"/>
      <c r="GED19" s="344"/>
      <c r="GEE19" s="344"/>
      <c r="GEF19" s="344"/>
      <c r="GEG19" s="344"/>
      <c r="GEH19" s="344"/>
      <c r="GEI19" s="344"/>
      <c r="GEJ19" s="344"/>
      <c r="GEK19" s="344"/>
      <c r="GEL19" s="344"/>
      <c r="GEM19" s="344"/>
      <c r="GEN19" s="344"/>
      <c r="GEO19" s="344"/>
      <c r="GEP19" s="344"/>
      <c r="GEQ19" s="344"/>
      <c r="GER19" s="344"/>
      <c r="GES19" s="344"/>
      <c r="GET19" s="344"/>
      <c r="GEU19" s="344"/>
      <c r="GEV19" s="344"/>
      <c r="GEW19" s="344"/>
      <c r="GEX19" s="344"/>
      <c r="GEY19" s="344"/>
      <c r="GEZ19" s="344"/>
      <c r="GFA19" s="344"/>
      <c r="GFB19" s="344"/>
      <c r="GFC19" s="344"/>
      <c r="GFD19" s="344"/>
      <c r="GFE19" s="344"/>
      <c r="GFF19" s="344"/>
      <c r="GFG19" s="344"/>
      <c r="GFH19" s="344"/>
      <c r="GFI19" s="344"/>
      <c r="GFJ19" s="344"/>
      <c r="GFK19" s="344"/>
      <c r="GFL19" s="344"/>
      <c r="GFM19" s="344"/>
      <c r="GFN19" s="344"/>
      <c r="GFO19" s="344"/>
      <c r="GFP19" s="344"/>
      <c r="GFQ19" s="344"/>
      <c r="GFR19" s="344"/>
      <c r="GFS19" s="344"/>
      <c r="GFT19" s="344"/>
      <c r="GFU19" s="344"/>
      <c r="GFV19" s="344"/>
      <c r="GFW19" s="344"/>
      <c r="GFX19" s="344"/>
      <c r="GFY19" s="344"/>
      <c r="GFZ19" s="344"/>
      <c r="GGA19" s="344"/>
      <c r="GGB19" s="344"/>
      <c r="GGC19" s="344"/>
      <c r="GGD19" s="344"/>
      <c r="GGE19" s="344"/>
      <c r="GGF19" s="344"/>
      <c r="GGG19" s="344"/>
      <c r="GGH19" s="344"/>
      <c r="GGI19" s="344"/>
      <c r="GGJ19" s="344"/>
      <c r="GGK19" s="344"/>
      <c r="GGL19" s="344"/>
      <c r="GGM19" s="344"/>
      <c r="GGN19" s="344"/>
      <c r="GGO19" s="344"/>
      <c r="GGP19" s="344"/>
      <c r="GGQ19" s="344"/>
      <c r="GGR19" s="344"/>
      <c r="GGS19" s="344"/>
      <c r="GGT19" s="344"/>
      <c r="GGU19" s="344"/>
      <c r="GGV19" s="344"/>
      <c r="GGW19" s="344"/>
      <c r="GGX19" s="344"/>
      <c r="GGY19" s="344"/>
      <c r="GGZ19" s="344"/>
      <c r="GHA19" s="344"/>
      <c r="GHB19" s="344"/>
      <c r="GHC19" s="344"/>
      <c r="GHD19" s="344"/>
      <c r="GHE19" s="344"/>
      <c r="GHF19" s="344"/>
      <c r="GHG19" s="344"/>
      <c r="GHH19" s="344"/>
      <c r="GHI19" s="344"/>
      <c r="GHJ19" s="344"/>
      <c r="GHK19" s="344"/>
      <c r="GHL19" s="344"/>
      <c r="GHM19" s="344"/>
      <c r="GHN19" s="344"/>
      <c r="GHO19" s="344"/>
      <c r="GHP19" s="344"/>
      <c r="GHQ19" s="344"/>
      <c r="GHR19" s="344"/>
      <c r="GHS19" s="344"/>
      <c r="GHT19" s="344"/>
      <c r="GHU19" s="344"/>
      <c r="GHV19" s="344"/>
      <c r="GHW19" s="344"/>
      <c r="GHX19" s="344"/>
      <c r="GHY19" s="344"/>
      <c r="GHZ19" s="344"/>
      <c r="GIA19" s="344"/>
      <c r="GIB19" s="344"/>
      <c r="GIC19" s="344"/>
      <c r="GID19" s="344"/>
      <c r="GIE19" s="344"/>
      <c r="GIF19" s="344"/>
      <c r="GIG19" s="344"/>
      <c r="GIH19" s="344"/>
      <c r="GII19" s="344"/>
      <c r="GIJ19" s="344"/>
      <c r="GIK19" s="344"/>
      <c r="GIL19" s="344"/>
      <c r="GIM19" s="344"/>
      <c r="GIN19" s="344"/>
      <c r="GIO19" s="344"/>
      <c r="GIP19" s="344"/>
      <c r="GIQ19" s="344"/>
      <c r="GIR19" s="344"/>
      <c r="GIS19" s="344"/>
      <c r="GIT19" s="344"/>
      <c r="GIU19" s="344"/>
      <c r="GIV19" s="344"/>
      <c r="GIW19" s="344"/>
      <c r="GIX19" s="344"/>
      <c r="GIY19" s="344"/>
      <c r="GIZ19" s="344"/>
      <c r="GJA19" s="344"/>
      <c r="GJB19" s="344"/>
      <c r="GJC19" s="344"/>
      <c r="GJD19" s="344"/>
      <c r="GJE19" s="344"/>
      <c r="GJF19" s="344"/>
      <c r="GJG19" s="344"/>
      <c r="GJH19" s="344"/>
      <c r="GJI19" s="344"/>
      <c r="GJJ19" s="344"/>
      <c r="GJK19" s="344"/>
      <c r="GJL19" s="344"/>
      <c r="GJM19" s="344"/>
      <c r="GJN19" s="344"/>
      <c r="GJO19" s="344"/>
      <c r="GJP19" s="344"/>
      <c r="GJQ19" s="344"/>
      <c r="GJR19" s="344"/>
      <c r="GJS19" s="344"/>
      <c r="GJT19" s="344"/>
      <c r="GJU19" s="344"/>
      <c r="GJV19" s="344"/>
      <c r="GJW19" s="344"/>
      <c r="GJX19" s="344"/>
      <c r="GJY19" s="344"/>
      <c r="GJZ19" s="344"/>
      <c r="GKA19" s="344"/>
      <c r="GKB19" s="344"/>
      <c r="GKC19" s="344"/>
      <c r="GKD19" s="344"/>
      <c r="GKE19" s="344"/>
      <c r="GKF19" s="344"/>
      <c r="GKG19" s="344"/>
      <c r="GKH19" s="344"/>
      <c r="GKI19" s="344"/>
      <c r="GKJ19" s="344"/>
      <c r="GKK19" s="344"/>
      <c r="GKL19" s="344"/>
      <c r="GKM19" s="344"/>
      <c r="GKN19" s="344"/>
      <c r="GKO19" s="344"/>
      <c r="GKP19" s="344"/>
      <c r="GKQ19" s="344"/>
      <c r="GKR19" s="344"/>
      <c r="GKS19" s="344"/>
      <c r="GKT19" s="344"/>
      <c r="GKU19" s="344"/>
      <c r="GKV19" s="344"/>
      <c r="GKW19" s="344"/>
      <c r="GKX19" s="344"/>
      <c r="GKY19" s="344"/>
      <c r="GKZ19" s="344"/>
      <c r="GLA19" s="344"/>
      <c r="GLB19" s="344"/>
      <c r="GLC19" s="344"/>
      <c r="GLD19" s="344"/>
      <c r="GLE19" s="344"/>
      <c r="GLF19" s="344"/>
      <c r="GLG19" s="344"/>
      <c r="GLH19" s="344"/>
      <c r="GLI19" s="344"/>
      <c r="GLJ19" s="344"/>
      <c r="GLK19" s="344"/>
      <c r="GLL19" s="344"/>
      <c r="GLM19" s="344"/>
      <c r="GLN19" s="344"/>
      <c r="GLO19" s="344"/>
      <c r="GLP19" s="344"/>
      <c r="GLQ19" s="344"/>
      <c r="GLR19" s="344"/>
      <c r="GLS19" s="344"/>
      <c r="GLT19" s="344"/>
      <c r="GLU19" s="344"/>
      <c r="GLV19" s="344"/>
      <c r="GLW19" s="344"/>
      <c r="GLX19" s="344"/>
      <c r="GLY19" s="344"/>
      <c r="GLZ19" s="344"/>
      <c r="GMA19" s="344"/>
      <c r="GMB19" s="344"/>
      <c r="GMC19" s="344"/>
      <c r="GMD19" s="344"/>
      <c r="GME19" s="344"/>
      <c r="GMF19" s="344"/>
      <c r="GMG19" s="344"/>
      <c r="GMH19" s="344"/>
      <c r="GMI19" s="344"/>
      <c r="GMJ19" s="344"/>
      <c r="GMK19" s="344"/>
      <c r="GML19" s="344"/>
      <c r="GMM19" s="344"/>
      <c r="GMN19" s="344"/>
      <c r="GMO19" s="344"/>
      <c r="GMP19" s="344"/>
      <c r="GMQ19" s="344"/>
      <c r="GMR19" s="344"/>
      <c r="GMS19" s="344"/>
      <c r="GMT19" s="344"/>
      <c r="GMU19" s="344"/>
      <c r="GMV19" s="344"/>
      <c r="GMW19" s="344"/>
      <c r="GMX19" s="344"/>
      <c r="GMY19" s="344"/>
      <c r="GMZ19" s="344"/>
      <c r="GNA19" s="344"/>
      <c r="GNB19" s="344"/>
      <c r="GNC19" s="344"/>
      <c r="GND19" s="344"/>
      <c r="GNE19" s="344"/>
      <c r="GNF19" s="344"/>
      <c r="GNG19" s="344"/>
      <c r="GNH19" s="344"/>
      <c r="GNI19" s="344"/>
      <c r="GNJ19" s="344"/>
      <c r="GNK19" s="344"/>
      <c r="GNL19" s="344"/>
      <c r="GNM19" s="344"/>
      <c r="GNN19" s="344"/>
      <c r="GNO19" s="344"/>
      <c r="GNP19" s="344"/>
      <c r="GNQ19" s="344"/>
      <c r="GNR19" s="344"/>
      <c r="GNS19" s="344"/>
      <c r="GNT19" s="344"/>
      <c r="GNU19" s="344"/>
      <c r="GNV19" s="344"/>
      <c r="GNW19" s="344"/>
      <c r="GNX19" s="344"/>
      <c r="GNY19" s="344"/>
      <c r="GNZ19" s="344"/>
      <c r="GOA19" s="344"/>
      <c r="GOB19" s="344"/>
      <c r="GOC19" s="344"/>
      <c r="GOD19" s="344"/>
      <c r="GOE19" s="344"/>
      <c r="GOF19" s="344"/>
      <c r="GOG19" s="344"/>
      <c r="GOH19" s="344"/>
      <c r="GOI19" s="344"/>
      <c r="GOJ19" s="344"/>
      <c r="GOK19" s="344"/>
      <c r="GOL19" s="344"/>
      <c r="GOM19" s="344"/>
      <c r="GON19" s="344"/>
      <c r="GOO19" s="344"/>
      <c r="GOP19" s="344"/>
      <c r="GOQ19" s="344"/>
      <c r="GOR19" s="344"/>
      <c r="GOS19" s="344"/>
      <c r="GOT19" s="344"/>
      <c r="GOU19" s="344"/>
      <c r="GOV19" s="344"/>
      <c r="GOW19" s="344"/>
      <c r="GOX19" s="344"/>
      <c r="GOY19" s="344"/>
      <c r="GOZ19" s="344"/>
      <c r="GPA19" s="344"/>
      <c r="GPB19" s="344"/>
      <c r="GPC19" s="344"/>
      <c r="GPD19" s="344"/>
      <c r="GPE19" s="344"/>
      <c r="GPF19" s="344"/>
      <c r="GPG19" s="344"/>
      <c r="GPH19" s="344"/>
      <c r="GPI19" s="344"/>
      <c r="GPJ19" s="344"/>
      <c r="GPK19" s="344"/>
      <c r="GPL19" s="344"/>
      <c r="GPM19" s="344"/>
      <c r="GPN19" s="344"/>
      <c r="GPO19" s="344"/>
      <c r="GPP19" s="344"/>
      <c r="GPQ19" s="344"/>
      <c r="GPR19" s="344"/>
      <c r="GPS19" s="344"/>
      <c r="GPT19" s="344"/>
      <c r="GPU19" s="344"/>
      <c r="GPV19" s="344"/>
      <c r="GPW19" s="344"/>
      <c r="GPX19" s="344"/>
      <c r="GPY19" s="344"/>
      <c r="GPZ19" s="344"/>
      <c r="GQA19" s="344"/>
      <c r="GQB19" s="344"/>
      <c r="GQC19" s="344"/>
      <c r="GQD19" s="344"/>
      <c r="GQE19" s="344"/>
      <c r="GQF19" s="344"/>
      <c r="GQG19" s="344"/>
      <c r="GQH19" s="344"/>
      <c r="GQI19" s="344"/>
      <c r="GQJ19" s="344"/>
      <c r="GQK19" s="344"/>
      <c r="GQL19" s="344"/>
      <c r="GQM19" s="344"/>
      <c r="GQN19" s="344"/>
      <c r="GQO19" s="344"/>
      <c r="GQP19" s="344"/>
      <c r="GQQ19" s="344"/>
      <c r="GQR19" s="344"/>
      <c r="GQS19" s="344"/>
      <c r="GQT19" s="344"/>
      <c r="GQU19" s="344"/>
      <c r="GQV19" s="344"/>
      <c r="GQW19" s="344"/>
      <c r="GQX19" s="344"/>
      <c r="GQY19" s="344"/>
      <c r="GQZ19" s="344"/>
      <c r="GRA19" s="344"/>
      <c r="GRB19" s="344"/>
      <c r="GRC19" s="344"/>
      <c r="GRD19" s="344"/>
      <c r="GRE19" s="344"/>
      <c r="GRF19" s="344"/>
      <c r="GRG19" s="344"/>
      <c r="GRH19" s="344"/>
      <c r="GRI19" s="344"/>
      <c r="GRJ19" s="344"/>
      <c r="GRK19" s="344"/>
      <c r="GRL19" s="344"/>
      <c r="GRM19" s="344"/>
      <c r="GRN19" s="344"/>
      <c r="GRO19" s="344"/>
      <c r="GRP19" s="344"/>
      <c r="GRQ19" s="344"/>
      <c r="GRR19" s="344"/>
      <c r="GRS19" s="344"/>
      <c r="GRT19" s="344"/>
      <c r="GRU19" s="344"/>
      <c r="GRV19" s="344"/>
      <c r="GRW19" s="344"/>
      <c r="GRX19" s="344"/>
      <c r="GRY19" s="344"/>
      <c r="GRZ19" s="344"/>
      <c r="GSA19" s="344"/>
      <c r="GSB19" s="344"/>
      <c r="GSC19" s="344"/>
      <c r="GSD19" s="344"/>
      <c r="GSE19" s="344"/>
      <c r="GSF19" s="344"/>
      <c r="GSG19" s="344"/>
      <c r="GSH19" s="344"/>
      <c r="GSI19" s="344"/>
      <c r="GSJ19" s="344"/>
      <c r="GSK19" s="344"/>
      <c r="GSL19" s="344"/>
      <c r="GSM19" s="344"/>
      <c r="GSN19" s="344"/>
      <c r="GSO19" s="344"/>
      <c r="GSP19" s="344"/>
      <c r="GSQ19" s="344"/>
      <c r="GSR19" s="344"/>
      <c r="GSS19" s="344"/>
      <c r="GST19" s="344"/>
      <c r="GSU19" s="344"/>
      <c r="GSV19" s="344"/>
      <c r="GSW19" s="344"/>
      <c r="GSX19" s="344"/>
      <c r="GSY19" s="344"/>
      <c r="GSZ19" s="344"/>
      <c r="GTA19" s="344"/>
      <c r="GTB19" s="344"/>
      <c r="GTC19" s="344"/>
      <c r="GTD19" s="344"/>
      <c r="GTE19" s="344"/>
      <c r="GTF19" s="344"/>
      <c r="GTG19" s="344"/>
      <c r="GTH19" s="344"/>
      <c r="GTI19" s="344"/>
      <c r="GTJ19" s="344"/>
      <c r="GTK19" s="344"/>
      <c r="GTL19" s="344"/>
      <c r="GTM19" s="344"/>
      <c r="GTN19" s="344"/>
      <c r="GTO19" s="344"/>
      <c r="GTP19" s="344"/>
      <c r="GTQ19" s="344"/>
      <c r="GTR19" s="344"/>
      <c r="GTS19" s="344"/>
      <c r="GTT19" s="344"/>
      <c r="GTU19" s="344"/>
      <c r="GTV19" s="344"/>
      <c r="GTW19" s="344"/>
      <c r="GTX19" s="344"/>
      <c r="GTY19" s="344"/>
      <c r="GTZ19" s="344"/>
      <c r="GUA19" s="344"/>
      <c r="GUB19" s="344"/>
      <c r="GUC19" s="344"/>
      <c r="GUD19" s="344"/>
      <c r="GUE19" s="344"/>
      <c r="GUF19" s="344"/>
      <c r="GUG19" s="344"/>
      <c r="GUH19" s="344"/>
      <c r="GUI19" s="344"/>
      <c r="GUJ19" s="344"/>
      <c r="GUK19" s="344"/>
      <c r="GUL19" s="344"/>
      <c r="GUM19" s="344"/>
      <c r="GUN19" s="344"/>
      <c r="GUO19" s="344"/>
      <c r="GUP19" s="344"/>
      <c r="GUQ19" s="344"/>
      <c r="GUR19" s="344"/>
      <c r="GUS19" s="344"/>
      <c r="GUT19" s="344"/>
      <c r="GUU19" s="344"/>
      <c r="GUV19" s="344"/>
      <c r="GUW19" s="344"/>
      <c r="GUX19" s="344"/>
      <c r="GUY19" s="344"/>
      <c r="GUZ19" s="344"/>
      <c r="GVA19" s="344"/>
      <c r="GVB19" s="344"/>
      <c r="GVC19" s="344"/>
      <c r="GVD19" s="344"/>
      <c r="GVE19" s="344"/>
      <c r="GVF19" s="344"/>
      <c r="GVG19" s="344"/>
      <c r="GVH19" s="344"/>
      <c r="GVI19" s="344"/>
      <c r="GVJ19" s="344"/>
      <c r="GVK19" s="344"/>
      <c r="GVL19" s="344"/>
      <c r="GVM19" s="344"/>
      <c r="GVN19" s="344"/>
      <c r="GVO19" s="344"/>
      <c r="GVP19" s="344"/>
      <c r="GVQ19" s="344"/>
      <c r="GVR19" s="344"/>
      <c r="GVS19" s="344"/>
      <c r="GVT19" s="344"/>
      <c r="GVU19" s="344"/>
      <c r="GVV19" s="344"/>
      <c r="GVW19" s="344"/>
      <c r="GVX19" s="344"/>
      <c r="GVY19" s="344"/>
      <c r="GVZ19" s="344"/>
      <c r="GWA19" s="344"/>
      <c r="GWB19" s="344"/>
      <c r="GWC19" s="344"/>
      <c r="GWD19" s="344"/>
      <c r="GWE19" s="344"/>
      <c r="GWF19" s="344"/>
      <c r="GWG19" s="344"/>
      <c r="GWH19" s="344"/>
      <c r="GWI19" s="344"/>
      <c r="GWJ19" s="344"/>
      <c r="GWK19" s="344"/>
      <c r="GWL19" s="344"/>
      <c r="GWM19" s="344"/>
      <c r="GWN19" s="344"/>
      <c r="GWO19" s="344"/>
      <c r="GWP19" s="344"/>
      <c r="GWQ19" s="344"/>
      <c r="GWR19" s="344"/>
      <c r="GWS19" s="344"/>
      <c r="GWT19" s="344"/>
      <c r="GWU19" s="344"/>
      <c r="GWV19" s="344"/>
      <c r="GWW19" s="344"/>
      <c r="GWX19" s="344"/>
      <c r="GWY19" s="344"/>
      <c r="GWZ19" s="344"/>
      <c r="GXA19" s="344"/>
      <c r="GXB19" s="344"/>
      <c r="GXC19" s="344"/>
      <c r="GXD19" s="344"/>
      <c r="GXE19" s="344"/>
      <c r="GXF19" s="344"/>
      <c r="GXG19" s="344"/>
      <c r="GXH19" s="344"/>
      <c r="GXI19" s="344"/>
      <c r="GXJ19" s="344"/>
      <c r="GXK19" s="344"/>
      <c r="GXL19" s="344"/>
      <c r="GXM19" s="344"/>
      <c r="GXN19" s="344"/>
      <c r="GXO19" s="344"/>
      <c r="GXP19" s="344"/>
      <c r="GXQ19" s="344"/>
      <c r="GXR19" s="344"/>
      <c r="GXS19" s="344"/>
      <c r="GXT19" s="344"/>
      <c r="GXU19" s="344"/>
      <c r="GXV19" s="344"/>
      <c r="GXW19" s="344"/>
      <c r="GXX19" s="344"/>
      <c r="GXY19" s="344"/>
      <c r="GXZ19" s="344"/>
      <c r="GYA19" s="344"/>
      <c r="GYB19" s="344"/>
      <c r="GYC19" s="344"/>
      <c r="GYD19" s="344"/>
      <c r="GYE19" s="344"/>
      <c r="GYF19" s="344"/>
      <c r="GYG19" s="344"/>
      <c r="GYH19" s="344"/>
      <c r="GYI19" s="344"/>
      <c r="GYJ19" s="344"/>
      <c r="GYK19" s="344"/>
      <c r="GYL19" s="344"/>
      <c r="GYM19" s="344"/>
      <c r="GYN19" s="344"/>
      <c r="GYO19" s="344"/>
      <c r="GYP19" s="344"/>
      <c r="GYQ19" s="344"/>
      <c r="GYR19" s="344"/>
      <c r="GYS19" s="344"/>
      <c r="GYT19" s="344"/>
      <c r="GYU19" s="344"/>
      <c r="GYV19" s="344"/>
      <c r="GYW19" s="344"/>
      <c r="GYX19" s="344"/>
      <c r="GYY19" s="344"/>
      <c r="GYZ19" s="344"/>
      <c r="GZA19" s="344"/>
      <c r="GZB19" s="344"/>
      <c r="GZC19" s="344"/>
      <c r="GZD19" s="344"/>
      <c r="GZE19" s="344"/>
      <c r="GZF19" s="344"/>
      <c r="GZG19" s="344"/>
      <c r="GZH19" s="344"/>
      <c r="GZI19" s="344"/>
      <c r="GZJ19" s="344"/>
      <c r="GZK19" s="344"/>
      <c r="GZL19" s="344"/>
      <c r="GZM19" s="344"/>
      <c r="GZN19" s="344"/>
      <c r="GZO19" s="344"/>
      <c r="GZP19" s="344"/>
      <c r="GZQ19" s="344"/>
      <c r="GZR19" s="344"/>
      <c r="GZS19" s="344"/>
      <c r="GZT19" s="344"/>
      <c r="GZU19" s="344"/>
      <c r="GZV19" s="344"/>
      <c r="GZW19" s="344"/>
      <c r="GZX19" s="344"/>
      <c r="GZY19" s="344"/>
      <c r="GZZ19" s="344"/>
      <c r="HAA19" s="344"/>
      <c r="HAB19" s="344"/>
      <c r="HAC19" s="344"/>
      <c r="HAD19" s="344"/>
      <c r="HAE19" s="344"/>
      <c r="HAF19" s="344"/>
      <c r="HAG19" s="344"/>
      <c r="HAH19" s="344"/>
      <c r="HAI19" s="344"/>
      <c r="HAJ19" s="344"/>
      <c r="HAK19" s="344"/>
      <c r="HAL19" s="344"/>
      <c r="HAM19" s="344"/>
      <c r="HAN19" s="344"/>
      <c r="HAO19" s="344"/>
      <c r="HAP19" s="344"/>
      <c r="HAQ19" s="344"/>
      <c r="HAR19" s="344"/>
      <c r="HAS19" s="344"/>
      <c r="HAT19" s="344"/>
      <c r="HAU19" s="344"/>
      <c r="HAV19" s="344"/>
      <c r="HAW19" s="344"/>
      <c r="HAX19" s="344"/>
      <c r="HAY19" s="344"/>
      <c r="HAZ19" s="344"/>
      <c r="HBA19" s="344"/>
      <c r="HBB19" s="344"/>
      <c r="HBC19" s="344"/>
      <c r="HBD19" s="344"/>
      <c r="HBE19" s="344"/>
      <c r="HBF19" s="344"/>
      <c r="HBG19" s="344"/>
      <c r="HBH19" s="344"/>
      <c r="HBI19" s="344"/>
      <c r="HBJ19" s="344"/>
      <c r="HBK19" s="344"/>
      <c r="HBL19" s="344"/>
      <c r="HBM19" s="344"/>
      <c r="HBN19" s="344"/>
      <c r="HBO19" s="344"/>
      <c r="HBP19" s="344"/>
      <c r="HBQ19" s="344"/>
      <c r="HBR19" s="344"/>
      <c r="HBS19" s="344"/>
      <c r="HBT19" s="344"/>
      <c r="HBU19" s="344"/>
      <c r="HBV19" s="344"/>
      <c r="HBW19" s="344"/>
      <c r="HBX19" s="344"/>
      <c r="HBY19" s="344"/>
      <c r="HBZ19" s="344"/>
      <c r="HCA19" s="344"/>
      <c r="HCB19" s="344"/>
      <c r="HCC19" s="344"/>
      <c r="HCD19" s="344"/>
      <c r="HCE19" s="344"/>
      <c r="HCF19" s="344"/>
      <c r="HCG19" s="344"/>
      <c r="HCH19" s="344"/>
      <c r="HCI19" s="344"/>
      <c r="HCJ19" s="344"/>
      <c r="HCK19" s="344"/>
      <c r="HCL19" s="344"/>
      <c r="HCM19" s="344"/>
      <c r="HCN19" s="344"/>
      <c r="HCO19" s="344"/>
      <c r="HCP19" s="344"/>
      <c r="HCQ19" s="344"/>
      <c r="HCR19" s="344"/>
      <c r="HCS19" s="344"/>
      <c r="HCT19" s="344"/>
      <c r="HCU19" s="344"/>
      <c r="HCV19" s="344"/>
      <c r="HCW19" s="344"/>
      <c r="HCX19" s="344"/>
      <c r="HCY19" s="344"/>
      <c r="HCZ19" s="344"/>
      <c r="HDA19" s="344"/>
      <c r="HDB19" s="344"/>
      <c r="HDC19" s="344"/>
      <c r="HDD19" s="344"/>
      <c r="HDE19" s="344"/>
      <c r="HDF19" s="344"/>
      <c r="HDG19" s="344"/>
      <c r="HDH19" s="344"/>
      <c r="HDI19" s="344"/>
      <c r="HDJ19" s="344"/>
      <c r="HDK19" s="344"/>
      <c r="HDL19" s="344"/>
      <c r="HDM19" s="344"/>
      <c r="HDN19" s="344"/>
      <c r="HDO19" s="344"/>
      <c r="HDP19" s="344"/>
      <c r="HDQ19" s="344"/>
      <c r="HDR19" s="344"/>
      <c r="HDS19" s="344"/>
      <c r="HDT19" s="344"/>
      <c r="HDU19" s="344"/>
      <c r="HDV19" s="344"/>
      <c r="HDW19" s="344"/>
      <c r="HDX19" s="344"/>
      <c r="HDY19" s="344"/>
      <c r="HDZ19" s="344"/>
      <c r="HEA19" s="344"/>
      <c r="HEB19" s="344"/>
      <c r="HEC19" s="344"/>
      <c r="HED19" s="344"/>
      <c r="HEE19" s="344"/>
      <c r="HEF19" s="344"/>
      <c r="HEG19" s="344"/>
      <c r="HEH19" s="344"/>
      <c r="HEI19" s="344"/>
      <c r="HEJ19" s="344"/>
      <c r="HEK19" s="344"/>
      <c r="HEL19" s="344"/>
      <c r="HEM19" s="344"/>
      <c r="HEN19" s="344"/>
      <c r="HEO19" s="344"/>
      <c r="HEP19" s="344"/>
      <c r="HEQ19" s="344"/>
      <c r="HER19" s="344"/>
      <c r="HES19" s="344"/>
      <c r="HET19" s="344"/>
      <c r="HEU19" s="344"/>
      <c r="HEV19" s="344"/>
      <c r="HEW19" s="344"/>
      <c r="HEX19" s="344"/>
      <c r="HEY19" s="344"/>
      <c r="HEZ19" s="344"/>
      <c r="HFA19" s="344"/>
      <c r="HFB19" s="344"/>
      <c r="HFC19" s="344"/>
      <c r="HFD19" s="344"/>
      <c r="HFE19" s="344"/>
      <c r="HFF19" s="344"/>
      <c r="HFG19" s="344"/>
      <c r="HFH19" s="344"/>
      <c r="HFI19" s="344"/>
      <c r="HFJ19" s="344"/>
      <c r="HFK19" s="344"/>
      <c r="HFL19" s="344"/>
      <c r="HFM19" s="344"/>
      <c r="HFN19" s="344"/>
      <c r="HFO19" s="344"/>
      <c r="HFP19" s="344"/>
      <c r="HFQ19" s="344"/>
      <c r="HFR19" s="344"/>
      <c r="HFS19" s="344"/>
      <c r="HFT19" s="344"/>
      <c r="HFU19" s="344"/>
      <c r="HFV19" s="344"/>
      <c r="HFW19" s="344"/>
      <c r="HFX19" s="344"/>
      <c r="HFY19" s="344"/>
      <c r="HFZ19" s="344"/>
      <c r="HGA19" s="344"/>
      <c r="HGB19" s="344"/>
      <c r="HGC19" s="344"/>
      <c r="HGD19" s="344"/>
      <c r="HGE19" s="344"/>
      <c r="HGF19" s="344"/>
      <c r="HGG19" s="344"/>
      <c r="HGH19" s="344"/>
      <c r="HGI19" s="344"/>
      <c r="HGJ19" s="344"/>
      <c r="HGK19" s="344"/>
      <c r="HGL19" s="344"/>
      <c r="HGM19" s="344"/>
      <c r="HGN19" s="344"/>
      <c r="HGO19" s="344"/>
      <c r="HGP19" s="344"/>
      <c r="HGQ19" s="344"/>
      <c r="HGR19" s="344"/>
      <c r="HGS19" s="344"/>
      <c r="HGT19" s="344"/>
      <c r="HGU19" s="344"/>
      <c r="HGV19" s="344"/>
      <c r="HGW19" s="344"/>
      <c r="HGX19" s="344"/>
      <c r="HGY19" s="344"/>
      <c r="HGZ19" s="344"/>
      <c r="HHA19" s="344"/>
      <c r="HHB19" s="344"/>
      <c r="HHC19" s="344"/>
      <c r="HHD19" s="344"/>
      <c r="HHE19" s="344"/>
      <c r="HHF19" s="344"/>
      <c r="HHG19" s="344"/>
      <c r="HHH19" s="344"/>
      <c r="HHI19" s="344"/>
      <c r="HHJ19" s="344"/>
      <c r="HHK19" s="344"/>
      <c r="HHL19" s="344"/>
      <c r="HHM19" s="344"/>
      <c r="HHN19" s="344"/>
      <c r="HHO19" s="344"/>
      <c r="HHP19" s="344"/>
      <c r="HHQ19" s="344"/>
      <c r="HHR19" s="344"/>
      <c r="HHS19" s="344"/>
      <c r="HHT19" s="344"/>
      <c r="HHU19" s="344"/>
      <c r="HHV19" s="344"/>
      <c r="HHW19" s="344"/>
      <c r="HHX19" s="344"/>
      <c r="HHY19" s="344"/>
      <c r="HHZ19" s="344"/>
      <c r="HIA19" s="344"/>
      <c r="HIB19" s="344"/>
      <c r="HIC19" s="344"/>
      <c r="HID19" s="344"/>
      <c r="HIE19" s="344"/>
      <c r="HIF19" s="344"/>
      <c r="HIG19" s="344"/>
      <c r="HIH19" s="344"/>
      <c r="HII19" s="344"/>
      <c r="HIJ19" s="344"/>
      <c r="HIK19" s="344"/>
      <c r="HIL19" s="344"/>
      <c r="HIM19" s="344"/>
      <c r="HIN19" s="344"/>
      <c r="HIO19" s="344"/>
      <c r="HIP19" s="344"/>
      <c r="HIQ19" s="344"/>
      <c r="HIR19" s="344"/>
      <c r="HIS19" s="344"/>
      <c r="HIT19" s="344"/>
      <c r="HIU19" s="344"/>
      <c r="HIV19" s="344"/>
      <c r="HIW19" s="344"/>
      <c r="HIX19" s="344"/>
      <c r="HIY19" s="344"/>
      <c r="HIZ19" s="344"/>
      <c r="HJA19" s="344"/>
      <c r="HJB19" s="344"/>
      <c r="HJC19" s="344"/>
      <c r="HJD19" s="344"/>
      <c r="HJE19" s="344"/>
      <c r="HJF19" s="344"/>
      <c r="HJG19" s="344"/>
      <c r="HJH19" s="344"/>
      <c r="HJI19" s="344"/>
      <c r="HJJ19" s="344"/>
      <c r="HJK19" s="344"/>
      <c r="HJL19" s="344"/>
      <c r="HJM19" s="344"/>
      <c r="HJN19" s="344"/>
      <c r="HJO19" s="344"/>
      <c r="HJP19" s="344"/>
      <c r="HJQ19" s="344"/>
      <c r="HJR19" s="344"/>
      <c r="HJS19" s="344"/>
      <c r="HJT19" s="344"/>
      <c r="HJU19" s="344"/>
      <c r="HJV19" s="344"/>
      <c r="HJW19" s="344"/>
      <c r="HJX19" s="344"/>
      <c r="HJY19" s="344"/>
      <c r="HJZ19" s="344"/>
      <c r="HKA19" s="344"/>
      <c r="HKB19" s="344"/>
      <c r="HKC19" s="344"/>
      <c r="HKD19" s="344"/>
      <c r="HKE19" s="344"/>
      <c r="HKF19" s="344"/>
      <c r="HKG19" s="344"/>
      <c r="HKH19" s="344"/>
      <c r="HKI19" s="344"/>
      <c r="HKJ19" s="344"/>
      <c r="HKK19" s="344"/>
      <c r="HKL19" s="344"/>
      <c r="HKM19" s="344"/>
      <c r="HKN19" s="344"/>
      <c r="HKO19" s="344"/>
      <c r="HKP19" s="344"/>
      <c r="HKQ19" s="344"/>
      <c r="HKR19" s="344"/>
      <c r="HKS19" s="344"/>
      <c r="HKT19" s="344"/>
      <c r="HKU19" s="344"/>
      <c r="HKV19" s="344"/>
      <c r="HKW19" s="344"/>
      <c r="HKX19" s="344"/>
      <c r="HKY19" s="344"/>
      <c r="HKZ19" s="344"/>
      <c r="HLA19" s="344"/>
      <c r="HLB19" s="344"/>
      <c r="HLC19" s="344"/>
      <c r="HLD19" s="344"/>
      <c r="HLE19" s="344"/>
      <c r="HLF19" s="344"/>
      <c r="HLG19" s="344"/>
      <c r="HLH19" s="344"/>
      <c r="HLI19" s="344"/>
      <c r="HLJ19" s="344"/>
      <c r="HLK19" s="344"/>
      <c r="HLL19" s="344"/>
      <c r="HLM19" s="344"/>
      <c r="HLN19" s="344"/>
      <c r="HLO19" s="344"/>
      <c r="HLP19" s="344"/>
      <c r="HLQ19" s="344"/>
      <c r="HLR19" s="344"/>
      <c r="HLS19" s="344"/>
      <c r="HLT19" s="344"/>
      <c r="HLU19" s="344"/>
      <c r="HLV19" s="344"/>
      <c r="HLW19" s="344"/>
      <c r="HLX19" s="344"/>
      <c r="HLY19" s="344"/>
      <c r="HLZ19" s="344"/>
      <c r="HMA19" s="344"/>
      <c r="HMB19" s="344"/>
      <c r="HMC19" s="344"/>
      <c r="HMD19" s="344"/>
      <c r="HME19" s="344"/>
      <c r="HMF19" s="344"/>
      <c r="HMG19" s="344"/>
      <c r="HMH19" s="344"/>
      <c r="HMI19" s="344"/>
      <c r="HMJ19" s="344"/>
      <c r="HMK19" s="344"/>
      <c r="HML19" s="344"/>
      <c r="HMM19" s="344"/>
      <c r="HMN19" s="344"/>
      <c r="HMO19" s="344"/>
      <c r="HMP19" s="344"/>
      <c r="HMQ19" s="344"/>
      <c r="HMR19" s="344"/>
      <c r="HMS19" s="344"/>
      <c r="HMT19" s="344"/>
      <c r="HMU19" s="344"/>
      <c r="HMV19" s="344"/>
      <c r="HMW19" s="344"/>
      <c r="HMX19" s="344"/>
      <c r="HMY19" s="344"/>
      <c r="HMZ19" s="344"/>
      <c r="HNA19" s="344"/>
      <c r="HNB19" s="344"/>
      <c r="HNC19" s="344"/>
      <c r="HND19" s="344"/>
      <c r="HNE19" s="344"/>
      <c r="HNF19" s="344"/>
      <c r="HNG19" s="344"/>
      <c r="HNH19" s="344"/>
      <c r="HNI19" s="344"/>
      <c r="HNJ19" s="344"/>
      <c r="HNK19" s="344"/>
      <c r="HNL19" s="344"/>
      <c r="HNM19" s="344"/>
      <c r="HNN19" s="344"/>
      <c r="HNO19" s="344"/>
      <c r="HNP19" s="344"/>
      <c r="HNQ19" s="344"/>
      <c r="HNR19" s="344"/>
      <c r="HNS19" s="344"/>
      <c r="HNT19" s="344"/>
      <c r="HNU19" s="344"/>
      <c r="HNV19" s="344"/>
      <c r="HNW19" s="344"/>
      <c r="HNX19" s="344"/>
      <c r="HNY19" s="344"/>
      <c r="HNZ19" s="344"/>
      <c r="HOA19" s="344"/>
      <c r="HOB19" s="344"/>
      <c r="HOC19" s="344"/>
      <c r="HOD19" s="344"/>
      <c r="HOE19" s="344"/>
      <c r="HOF19" s="344"/>
      <c r="HOG19" s="344"/>
      <c r="HOH19" s="344"/>
      <c r="HOI19" s="344"/>
      <c r="HOJ19" s="344"/>
      <c r="HOK19" s="344"/>
      <c r="HOL19" s="344"/>
      <c r="HOM19" s="344"/>
      <c r="HON19" s="344"/>
      <c r="HOO19" s="344"/>
      <c r="HOP19" s="344"/>
      <c r="HOQ19" s="344"/>
      <c r="HOR19" s="344"/>
      <c r="HOS19" s="344"/>
      <c r="HOT19" s="344"/>
      <c r="HOU19" s="344"/>
      <c r="HOV19" s="344"/>
      <c r="HOW19" s="344"/>
      <c r="HOX19" s="344"/>
      <c r="HOY19" s="344"/>
      <c r="HOZ19" s="344"/>
      <c r="HPA19" s="344"/>
      <c r="HPB19" s="344"/>
      <c r="HPC19" s="344"/>
      <c r="HPD19" s="344"/>
      <c r="HPE19" s="344"/>
      <c r="HPF19" s="344"/>
      <c r="HPG19" s="344"/>
      <c r="HPH19" s="344"/>
      <c r="HPI19" s="344"/>
      <c r="HPJ19" s="344"/>
      <c r="HPK19" s="344"/>
      <c r="HPL19" s="344"/>
      <c r="HPM19" s="344"/>
      <c r="HPN19" s="344"/>
      <c r="HPO19" s="344"/>
      <c r="HPP19" s="344"/>
      <c r="HPQ19" s="344"/>
      <c r="HPR19" s="344"/>
      <c r="HPS19" s="344"/>
      <c r="HPT19" s="344"/>
      <c r="HPU19" s="344"/>
      <c r="HPV19" s="344"/>
      <c r="HPW19" s="344"/>
      <c r="HPX19" s="344"/>
      <c r="HPY19" s="344"/>
      <c r="HPZ19" s="344"/>
      <c r="HQA19" s="344"/>
      <c r="HQB19" s="344"/>
      <c r="HQC19" s="344"/>
      <c r="HQD19" s="344"/>
      <c r="HQE19" s="344"/>
      <c r="HQF19" s="344"/>
      <c r="HQG19" s="344"/>
      <c r="HQH19" s="344"/>
      <c r="HQI19" s="344"/>
      <c r="HQJ19" s="344"/>
      <c r="HQK19" s="344"/>
      <c r="HQL19" s="344"/>
      <c r="HQM19" s="344"/>
      <c r="HQN19" s="344"/>
      <c r="HQO19" s="344"/>
      <c r="HQP19" s="344"/>
      <c r="HQQ19" s="344"/>
      <c r="HQR19" s="344"/>
      <c r="HQS19" s="344"/>
      <c r="HQT19" s="344"/>
      <c r="HQU19" s="344"/>
      <c r="HQV19" s="344"/>
      <c r="HQW19" s="344"/>
      <c r="HQX19" s="344"/>
      <c r="HQY19" s="344"/>
      <c r="HQZ19" s="344"/>
      <c r="HRA19" s="344"/>
      <c r="HRB19" s="344"/>
      <c r="HRC19" s="344"/>
      <c r="HRD19" s="344"/>
      <c r="HRE19" s="344"/>
      <c r="HRF19" s="344"/>
      <c r="HRG19" s="344"/>
      <c r="HRH19" s="344"/>
      <c r="HRI19" s="344"/>
      <c r="HRJ19" s="344"/>
      <c r="HRK19" s="344"/>
      <c r="HRL19" s="344"/>
      <c r="HRM19" s="344"/>
      <c r="HRN19" s="344"/>
      <c r="HRO19" s="344"/>
      <c r="HRP19" s="344"/>
      <c r="HRQ19" s="344"/>
      <c r="HRR19" s="344"/>
      <c r="HRS19" s="344"/>
      <c r="HRT19" s="344"/>
      <c r="HRU19" s="344"/>
      <c r="HRV19" s="344"/>
      <c r="HRW19" s="344"/>
      <c r="HRX19" s="344"/>
      <c r="HRY19" s="344"/>
      <c r="HRZ19" s="344"/>
      <c r="HSA19" s="344"/>
      <c r="HSB19" s="344"/>
      <c r="HSC19" s="344"/>
      <c r="HSD19" s="344"/>
      <c r="HSE19" s="344"/>
      <c r="HSF19" s="344"/>
      <c r="HSG19" s="344"/>
      <c r="HSH19" s="344"/>
      <c r="HSI19" s="344"/>
      <c r="HSJ19" s="344"/>
      <c r="HSK19" s="344"/>
      <c r="HSL19" s="344"/>
      <c r="HSM19" s="344"/>
      <c r="HSN19" s="344"/>
      <c r="HSO19" s="344"/>
      <c r="HSP19" s="344"/>
      <c r="HSQ19" s="344"/>
      <c r="HSR19" s="344"/>
      <c r="HSS19" s="344"/>
      <c r="HST19" s="344"/>
      <c r="HSU19" s="344"/>
      <c r="HSV19" s="344"/>
      <c r="HSW19" s="344"/>
      <c r="HSX19" s="344"/>
      <c r="HSY19" s="344"/>
      <c r="HSZ19" s="344"/>
      <c r="HTA19" s="344"/>
      <c r="HTB19" s="344"/>
      <c r="HTC19" s="344"/>
      <c r="HTD19" s="344"/>
      <c r="HTE19" s="344"/>
      <c r="HTF19" s="344"/>
      <c r="HTG19" s="344"/>
      <c r="HTH19" s="344"/>
      <c r="HTI19" s="344"/>
      <c r="HTJ19" s="344"/>
      <c r="HTK19" s="344"/>
      <c r="HTL19" s="344"/>
      <c r="HTM19" s="344"/>
      <c r="HTN19" s="344"/>
      <c r="HTO19" s="344"/>
      <c r="HTP19" s="344"/>
      <c r="HTQ19" s="344"/>
      <c r="HTR19" s="344"/>
      <c r="HTS19" s="344"/>
      <c r="HTT19" s="344"/>
      <c r="HTU19" s="344"/>
      <c r="HTV19" s="344"/>
      <c r="HTW19" s="344"/>
      <c r="HTX19" s="344"/>
      <c r="HTY19" s="344"/>
      <c r="HTZ19" s="344"/>
      <c r="HUA19" s="344"/>
      <c r="HUB19" s="344"/>
      <c r="HUC19" s="344"/>
      <c r="HUD19" s="344"/>
      <c r="HUE19" s="344"/>
      <c r="HUF19" s="344"/>
      <c r="HUG19" s="344"/>
      <c r="HUH19" s="344"/>
      <c r="HUI19" s="344"/>
      <c r="HUJ19" s="344"/>
      <c r="HUK19" s="344"/>
      <c r="HUL19" s="344"/>
      <c r="HUM19" s="344"/>
      <c r="HUN19" s="344"/>
      <c r="HUO19" s="344"/>
      <c r="HUP19" s="344"/>
      <c r="HUQ19" s="344"/>
      <c r="HUR19" s="344"/>
      <c r="HUS19" s="344"/>
      <c r="HUT19" s="344"/>
      <c r="HUU19" s="344"/>
      <c r="HUV19" s="344"/>
      <c r="HUW19" s="344"/>
      <c r="HUX19" s="344"/>
      <c r="HUY19" s="344"/>
      <c r="HUZ19" s="344"/>
      <c r="HVA19" s="344"/>
      <c r="HVB19" s="344"/>
      <c r="HVC19" s="344"/>
      <c r="HVD19" s="344"/>
      <c r="HVE19" s="344"/>
      <c r="HVF19" s="344"/>
      <c r="HVG19" s="344"/>
      <c r="HVH19" s="344"/>
      <c r="HVI19" s="344"/>
      <c r="HVJ19" s="344"/>
      <c r="HVK19" s="344"/>
      <c r="HVL19" s="344"/>
      <c r="HVM19" s="344"/>
      <c r="HVN19" s="344"/>
      <c r="HVO19" s="344"/>
      <c r="HVP19" s="344"/>
      <c r="HVQ19" s="344"/>
      <c r="HVR19" s="344"/>
      <c r="HVS19" s="344"/>
      <c r="HVT19" s="344"/>
      <c r="HVU19" s="344"/>
      <c r="HVV19" s="344"/>
      <c r="HVW19" s="344"/>
      <c r="HVX19" s="344"/>
      <c r="HVY19" s="344"/>
      <c r="HVZ19" s="344"/>
      <c r="HWA19" s="344"/>
      <c r="HWB19" s="344"/>
      <c r="HWC19" s="344"/>
      <c r="HWD19" s="344"/>
      <c r="HWE19" s="344"/>
      <c r="HWF19" s="344"/>
      <c r="HWG19" s="344"/>
      <c r="HWH19" s="344"/>
      <c r="HWI19" s="344"/>
      <c r="HWJ19" s="344"/>
      <c r="HWK19" s="344"/>
      <c r="HWL19" s="344"/>
      <c r="HWM19" s="344"/>
      <c r="HWN19" s="344"/>
      <c r="HWO19" s="344"/>
      <c r="HWP19" s="344"/>
      <c r="HWQ19" s="344"/>
      <c r="HWR19" s="344"/>
      <c r="HWS19" s="344"/>
      <c r="HWT19" s="344"/>
      <c r="HWU19" s="344"/>
      <c r="HWV19" s="344"/>
      <c r="HWW19" s="344"/>
      <c r="HWX19" s="344"/>
      <c r="HWY19" s="344"/>
      <c r="HWZ19" s="344"/>
      <c r="HXA19" s="344"/>
      <c r="HXB19" s="344"/>
      <c r="HXC19" s="344"/>
      <c r="HXD19" s="344"/>
      <c r="HXE19" s="344"/>
      <c r="HXF19" s="344"/>
      <c r="HXG19" s="344"/>
      <c r="HXH19" s="344"/>
      <c r="HXI19" s="344"/>
      <c r="HXJ19" s="344"/>
      <c r="HXK19" s="344"/>
      <c r="HXL19" s="344"/>
      <c r="HXM19" s="344"/>
      <c r="HXN19" s="344"/>
      <c r="HXO19" s="344"/>
      <c r="HXP19" s="344"/>
      <c r="HXQ19" s="344"/>
      <c r="HXR19" s="344"/>
      <c r="HXS19" s="344"/>
      <c r="HXT19" s="344"/>
      <c r="HXU19" s="344"/>
      <c r="HXV19" s="344"/>
      <c r="HXW19" s="344"/>
      <c r="HXX19" s="344"/>
      <c r="HXY19" s="344"/>
      <c r="HXZ19" s="344"/>
      <c r="HYA19" s="344"/>
      <c r="HYB19" s="344"/>
      <c r="HYC19" s="344"/>
      <c r="HYD19" s="344"/>
      <c r="HYE19" s="344"/>
      <c r="HYF19" s="344"/>
      <c r="HYG19" s="344"/>
      <c r="HYH19" s="344"/>
      <c r="HYI19" s="344"/>
      <c r="HYJ19" s="344"/>
      <c r="HYK19" s="344"/>
      <c r="HYL19" s="344"/>
      <c r="HYM19" s="344"/>
      <c r="HYN19" s="344"/>
      <c r="HYO19" s="344"/>
      <c r="HYP19" s="344"/>
      <c r="HYQ19" s="344"/>
      <c r="HYR19" s="344"/>
      <c r="HYS19" s="344"/>
      <c r="HYT19" s="344"/>
      <c r="HYU19" s="344"/>
      <c r="HYV19" s="344"/>
      <c r="HYW19" s="344"/>
      <c r="HYX19" s="344"/>
      <c r="HYY19" s="344"/>
      <c r="HYZ19" s="344"/>
      <c r="HZA19" s="344"/>
      <c r="HZB19" s="344"/>
      <c r="HZC19" s="344"/>
      <c r="HZD19" s="344"/>
      <c r="HZE19" s="344"/>
      <c r="HZF19" s="344"/>
      <c r="HZG19" s="344"/>
      <c r="HZH19" s="344"/>
      <c r="HZI19" s="344"/>
      <c r="HZJ19" s="344"/>
      <c r="HZK19" s="344"/>
      <c r="HZL19" s="344"/>
      <c r="HZM19" s="344"/>
      <c r="HZN19" s="344"/>
      <c r="HZO19" s="344"/>
      <c r="HZP19" s="344"/>
      <c r="HZQ19" s="344"/>
      <c r="HZR19" s="344"/>
      <c r="HZS19" s="344"/>
      <c r="HZT19" s="344"/>
      <c r="HZU19" s="344"/>
      <c r="HZV19" s="344"/>
      <c r="HZW19" s="344"/>
      <c r="HZX19" s="344"/>
      <c r="HZY19" s="344"/>
      <c r="HZZ19" s="344"/>
      <c r="IAA19" s="344"/>
      <c r="IAB19" s="344"/>
      <c r="IAC19" s="344"/>
      <c r="IAD19" s="344"/>
      <c r="IAE19" s="344"/>
      <c r="IAF19" s="344"/>
      <c r="IAG19" s="344"/>
      <c r="IAH19" s="344"/>
      <c r="IAI19" s="344"/>
      <c r="IAJ19" s="344"/>
      <c r="IAK19" s="344"/>
      <c r="IAL19" s="344"/>
      <c r="IAM19" s="344"/>
      <c r="IAN19" s="344"/>
      <c r="IAO19" s="344"/>
      <c r="IAP19" s="344"/>
      <c r="IAQ19" s="344"/>
      <c r="IAR19" s="344"/>
      <c r="IAS19" s="344"/>
      <c r="IAT19" s="344"/>
      <c r="IAU19" s="344"/>
      <c r="IAV19" s="344"/>
      <c r="IAW19" s="344"/>
      <c r="IAX19" s="344"/>
      <c r="IAY19" s="344"/>
      <c r="IAZ19" s="344"/>
      <c r="IBA19" s="344"/>
      <c r="IBB19" s="344"/>
      <c r="IBC19" s="344"/>
      <c r="IBD19" s="344"/>
      <c r="IBE19" s="344"/>
      <c r="IBF19" s="344"/>
      <c r="IBG19" s="344"/>
      <c r="IBH19" s="344"/>
      <c r="IBI19" s="344"/>
      <c r="IBJ19" s="344"/>
      <c r="IBK19" s="344"/>
      <c r="IBL19" s="344"/>
      <c r="IBM19" s="344"/>
      <c r="IBN19" s="344"/>
      <c r="IBO19" s="344"/>
      <c r="IBP19" s="344"/>
      <c r="IBQ19" s="344"/>
      <c r="IBR19" s="344"/>
      <c r="IBS19" s="344"/>
      <c r="IBT19" s="344"/>
      <c r="IBU19" s="344"/>
      <c r="IBV19" s="344"/>
      <c r="IBW19" s="344"/>
      <c r="IBX19" s="344"/>
      <c r="IBY19" s="344"/>
      <c r="IBZ19" s="344"/>
      <c r="ICA19" s="344"/>
      <c r="ICB19" s="344"/>
      <c r="ICC19" s="344"/>
      <c r="ICD19" s="344"/>
      <c r="ICE19" s="344"/>
      <c r="ICF19" s="344"/>
      <c r="ICG19" s="344"/>
      <c r="ICH19" s="344"/>
      <c r="ICI19" s="344"/>
      <c r="ICJ19" s="344"/>
      <c r="ICK19" s="344"/>
      <c r="ICL19" s="344"/>
      <c r="ICM19" s="344"/>
      <c r="ICN19" s="344"/>
      <c r="ICO19" s="344"/>
      <c r="ICP19" s="344"/>
      <c r="ICQ19" s="344"/>
      <c r="ICR19" s="344"/>
      <c r="ICS19" s="344"/>
      <c r="ICT19" s="344"/>
      <c r="ICU19" s="344"/>
      <c r="ICV19" s="344"/>
      <c r="ICW19" s="344"/>
      <c r="ICX19" s="344"/>
      <c r="ICY19" s="344"/>
      <c r="ICZ19" s="344"/>
      <c r="IDA19" s="344"/>
      <c r="IDB19" s="344"/>
      <c r="IDC19" s="344"/>
      <c r="IDD19" s="344"/>
      <c r="IDE19" s="344"/>
      <c r="IDF19" s="344"/>
      <c r="IDG19" s="344"/>
      <c r="IDH19" s="344"/>
      <c r="IDI19" s="344"/>
      <c r="IDJ19" s="344"/>
      <c r="IDK19" s="344"/>
      <c r="IDL19" s="344"/>
      <c r="IDM19" s="344"/>
      <c r="IDN19" s="344"/>
      <c r="IDO19" s="344"/>
      <c r="IDP19" s="344"/>
      <c r="IDQ19" s="344"/>
      <c r="IDR19" s="344"/>
      <c r="IDS19" s="344"/>
      <c r="IDT19" s="344"/>
      <c r="IDU19" s="344"/>
      <c r="IDV19" s="344"/>
      <c r="IDW19" s="344"/>
      <c r="IDX19" s="344"/>
      <c r="IDY19" s="344"/>
      <c r="IDZ19" s="344"/>
      <c r="IEA19" s="344"/>
      <c r="IEB19" s="344"/>
      <c r="IEC19" s="344"/>
      <c r="IED19" s="344"/>
      <c r="IEE19" s="344"/>
      <c r="IEF19" s="344"/>
      <c r="IEG19" s="344"/>
      <c r="IEH19" s="344"/>
      <c r="IEI19" s="344"/>
      <c r="IEJ19" s="344"/>
      <c r="IEK19" s="344"/>
      <c r="IEL19" s="344"/>
      <c r="IEM19" s="344"/>
      <c r="IEN19" s="344"/>
      <c r="IEO19" s="344"/>
      <c r="IEP19" s="344"/>
      <c r="IEQ19" s="344"/>
      <c r="IER19" s="344"/>
      <c r="IES19" s="344"/>
      <c r="IET19" s="344"/>
      <c r="IEU19" s="344"/>
      <c r="IEV19" s="344"/>
      <c r="IEW19" s="344"/>
      <c r="IEX19" s="344"/>
      <c r="IEY19" s="344"/>
      <c r="IEZ19" s="344"/>
      <c r="IFA19" s="344"/>
      <c r="IFB19" s="344"/>
      <c r="IFC19" s="344"/>
      <c r="IFD19" s="344"/>
      <c r="IFE19" s="344"/>
      <c r="IFF19" s="344"/>
      <c r="IFG19" s="344"/>
      <c r="IFH19" s="344"/>
      <c r="IFI19" s="344"/>
      <c r="IFJ19" s="344"/>
      <c r="IFK19" s="344"/>
      <c r="IFL19" s="344"/>
      <c r="IFM19" s="344"/>
      <c r="IFN19" s="344"/>
      <c r="IFO19" s="344"/>
      <c r="IFP19" s="344"/>
      <c r="IFQ19" s="344"/>
      <c r="IFR19" s="344"/>
      <c r="IFS19" s="344"/>
      <c r="IFT19" s="344"/>
      <c r="IFU19" s="344"/>
      <c r="IFV19" s="344"/>
      <c r="IFW19" s="344"/>
      <c r="IFX19" s="344"/>
      <c r="IFY19" s="344"/>
      <c r="IFZ19" s="344"/>
      <c r="IGA19" s="344"/>
      <c r="IGB19" s="344"/>
      <c r="IGC19" s="344"/>
      <c r="IGD19" s="344"/>
      <c r="IGE19" s="344"/>
      <c r="IGF19" s="344"/>
      <c r="IGG19" s="344"/>
      <c r="IGH19" s="344"/>
      <c r="IGI19" s="344"/>
      <c r="IGJ19" s="344"/>
      <c r="IGK19" s="344"/>
      <c r="IGL19" s="344"/>
      <c r="IGM19" s="344"/>
      <c r="IGN19" s="344"/>
      <c r="IGO19" s="344"/>
      <c r="IGP19" s="344"/>
      <c r="IGQ19" s="344"/>
      <c r="IGR19" s="344"/>
      <c r="IGS19" s="344"/>
      <c r="IGT19" s="344"/>
      <c r="IGU19" s="344"/>
      <c r="IGV19" s="344"/>
      <c r="IGW19" s="344"/>
      <c r="IGX19" s="344"/>
      <c r="IGY19" s="344"/>
      <c r="IGZ19" s="344"/>
      <c r="IHA19" s="344"/>
      <c r="IHB19" s="344"/>
      <c r="IHC19" s="344"/>
      <c r="IHD19" s="344"/>
      <c r="IHE19" s="344"/>
      <c r="IHF19" s="344"/>
      <c r="IHG19" s="344"/>
      <c r="IHH19" s="344"/>
      <c r="IHI19" s="344"/>
      <c r="IHJ19" s="344"/>
      <c r="IHK19" s="344"/>
      <c r="IHL19" s="344"/>
      <c r="IHM19" s="344"/>
      <c r="IHN19" s="344"/>
      <c r="IHO19" s="344"/>
      <c r="IHP19" s="344"/>
      <c r="IHQ19" s="344"/>
      <c r="IHR19" s="344"/>
      <c r="IHS19" s="344"/>
      <c r="IHT19" s="344"/>
      <c r="IHU19" s="344"/>
      <c r="IHV19" s="344"/>
      <c r="IHW19" s="344"/>
      <c r="IHX19" s="344"/>
      <c r="IHY19" s="344"/>
      <c r="IHZ19" s="344"/>
      <c r="IIA19" s="344"/>
      <c r="IIB19" s="344"/>
      <c r="IIC19" s="344"/>
      <c r="IID19" s="344"/>
      <c r="IIE19" s="344"/>
      <c r="IIF19" s="344"/>
      <c r="IIG19" s="344"/>
      <c r="IIH19" s="344"/>
      <c r="III19" s="344"/>
      <c r="IIJ19" s="344"/>
      <c r="IIK19" s="344"/>
      <c r="IIL19" s="344"/>
      <c r="IIM19" s="344"/>
      <c r="IIN19" s="344"/>
      <c r="IIO19" s="344"/>
      <c r="IIP19" s="344"/>
      <c r="IIQ19" s="344"/>
      <c r="IIR19" s="344"/>
      <c r="IIS19" s="344"/>
      <c r="IIT19" s="344"/>
      <c r="IIU19" s="344"/>
      <c r="IIV19" s="344"/>
      <c r="IIW19" s="344"/>
      <c r="IIX19" s="344"/>
      <c r="IIY19" s="344"/>
      <c r="IIZ19" s="344"/>
      <c r="IJA19" s="344"/>
      <c r="IJB19" s="344"/>
      <c r="IJC19" s="344"/>
      <c r="IJD19" s="344"/>
      <c r="IJE19" s="344"/>
      <c r="IJF19" s="344"/>
      <c r="IJG19" s="344"/>
      <c r="IJH19" s="344"/>
      <c r="IJI19" s="344"/>
      <c r="IJJ19" s="344"/>
      <c r="IJK19" s="344"/>
      <c r="IJL19" s="344"/>
      <c r="IJM19" s="344"/>
      <c r="IJN19" s="344"/>
      <c r="IJO19" s="344"/>
      <c r="IJP19" s="344"/>
      <c r="IJQ19" s="344"/>
      <c r="IJR19" s="344"/>
      <c r="IJS19" s="344"/>
      <c r="IJT19" s="344"/>
      <c r="IJU19" s="344"/>
      <c r="IJV19" s="344"/>
      <c r="IJW19" s="344"/>
      <c r="IJX19" s="344"/>
      <c r="IJY19" s="344"/>
      <c r="IJZ19" s="344"/>
      <c r="IKA19" s="344"/>
      <c r="IKB19" s="344"/>
      <c r="IKC19" s="344"/>
      <c r="IKD19" s="344"/>
      <c r="IKE19" s="344"/>
      <c r="IKF19" s="344"/>
      <c r="IKG19" s="344"/>
      <c r="IKH19" s="344"/>
      <c r="IKI19" s="344"/>
      <c r="IKJ19" s="344"/>
      <c r="IKK19" s="344"/>
      <c r="IKL19" s="344"/>
      <c r="IKM19" s="344"/>
      <c r="IKN19" s="344"/>
      <c r="IKO19" s="344"/>
      <c r="IKP19" s="344"/>
      <c r="IKQ19" s="344"/>
      <c r="IKR19" s="344"/>
      <c r="IKS19" s="344"/>
      <c r="IKT19" s="344"/>
      <c r="IKU19" s="344"/>
      <c r="IKV19" s="344"/>
      <c r="IKW19" s="344"/>
      <c r="IKX19" s="344"/>
      <c r="IKY19" s="344"/>
      <c r="IKZ19" s="344"/>
      <c r="ILA19" s="344"/>
      <c r="ILB19" s="344"/>
      <c r="ILC19" s="344"/>
      <c r="ILD19" s="344"/>
      <c r="ILE19" s="344"/>
      <c r="ILF19" s="344"/>
      <c r="ILG19" s="344"/>
      <c r="ILH19" s="344"/>
      <c r="ILI19" s="344"/>
      <c r="ILJ19" s="344"/>
      <c r="ILK19" s="344"/>
      <c r="ILL19" s="344"/>
      <c r="ILM19" s="344"/>
      <c r="ILN19" s="344"/>
      <c r="ILO19" s="344"/>
      <c r="ILP19" s="344"/>
      <c r="ILQ19" s="344"/>
      <c r="ILR19" s="344"/>
      <c r="ILS19" s="344"/>
      <c r="ILT19" s="344"/>
      <c r="ILU19" s="344"/>
      <c r="ILV19" s="344"/>
      <c r="ILW19" s="344"/>
      <c r="ILX19" s="344"/>
      <c r="ILY19" s="344"/>
      <c r="ILZ19" s="344"/>
      <c r="IMA19" s="344"/>
      <c r="IMB19" s="344"/>
      <c r="IMC19" s="344"/>
      <c r="IMD19" s="344"/>
      <c r="IME19" s="344"/>
      <c r="IMF19" s="344"/>
      <c r="IMG19" s="344"/>
      <c r="IMH19" s="344"/>
      <c r="IMI19" s="344"/>
      <c r="IMJ19" s="344"/>
      <c r="IMK19" s="344"/>
      <c r="IML19" s="344"/>
      <c r="IMM19" s="344"/>
      <c r="IMN19" s="344"/>
      <c r="IMO19" s="344"/>
      <c r="IMP19" s="344"/>
      <c r="IMQ19" s="344"/>
      <c r="IMR19" s="344"/>
      <c r="IMS19" s="344"/>
      <c r="IMT19" s="344"/>
      <c r="IMU19" s="344"/>
      <c r="IMV19" s="344"/>
      <c r="IMW19" s="344"/>
      <c r="IMX19" s="344"/>
      <c r="IMY19" s="344"/>
      <c r="IMZ19" s="344"/>
      <c r="INA19" s="344"/>
      <c r="INB19" s="344"/>
      <c r="INC19" s="344"/>
      <c r="IND19" s="344"/>
      <c r="INE19" s="344"/>
      <c r="INF19" s="344"/>
      <c r="ING19" s="344"/>
      <c r="INH19" s="344"/>
      <c r="INI19" s="344"/>
      <c r="INJ19" s="344"/>
      <c r="INK19" s="344"/>
      <c r="INL19" s="344"/>
      <c r="INM19" s="344"/>
      <c r="INN19" s="344"/>
      <c r="INO19" s="344"/>
      <c r="INP19" s="344"/>
      <c r="INQ19" s="344"/>
      <c r="INR19" s="344"/>
      <c r="INS19" s="344"/>
      <c r="INT19" s="344"/>
      <c r="INU19" s="344"/>
      <c r="INV19" s="344"/>
      <c r="INW19" s="344"/>
      <c r="INX19" s="344"/>
      <c r="INY19" s="344"/>
      <c r="INZ19" s="344"/>
      <c r="IOA19" s="344"/>
      <c r="IOB19" s="344"/>
      <c r="IOC19" s="344"/>
      <c r="IOD19" s="344"/>
      <c r="IOE19" s="344"/>
      <c r="IOF19" s="344"/>
      <c r="IOG19" s="344"/>
      <c r="IOH19" s="344"/>
      <c r="IOI19" s="344"/>
      <c r="IOJ19" s="344"/>
      <c r="IOK19" s="344"/>
      <c r="IOL19" s="344"/>
      <c r="IOM19" s="344"/>
      <c r="ION19" s="344"/>
      <c r="IOO19" s="344"/>
      <c r="IOP19" s="344"/>
      <c r="IOQ19" s="344"/>
      <c r="IOR19" s="344"/>
      <c r="IOS19" s="344"/>
      <c r="IOT19" s="344"/>
      <c r="IOU19" s="344"/>
      <c r="IOV19" s="344"/>
      <c r="IOW19" s="344"/>
      <c r="IOX19" s="344"/>
      <c r="IOY19" s="344"/>
      <c r="IOZ19" s="344"/>
      <c r="IPA19" s="344"/>
      <c r="IPB19" s="344"/>
      <c r="IPC19" s="344"/>
      <c r="IPD19" s="344"/>
      <c r="IPE19" s="344"/>
      <c r="IPF19" s="344"/>
      <c r="IPG19" s="344"/>
      <c r="IPH19" s="344"/>
      <c r="IPI19" s="344"/>
      <c r="IPJ19" s="344"/>
      <c r="IPK19" s="344"/>
      <c r="IPL19" s="344"/>
      <c r="IPM19" s="344"/>
      <c r="IPN19" s="344"/>
      <c r="IPO19" s="344"/>
      <c r="IPP19" s="344"/>
      <c r="IPQ19" s="344"/>
      <c r="IPR19" s="344"/>
      <c r="IPS19" s="344"/>
      <c r="IPT19" s="344"/>
      <c r="IPU19" s="344"/>
      <c r="IPV19" s="344"/>
      <c r="IPW19" s="344"/>
      <c r="IPX19" s="344"/>
      <c r="IPY19" s="344"/>
      <c r="IPZ19" s="344"/>
      <c r="IQA19" s="344"/>
      <c r="IQB19" s="344"/>
      <c r="IQC19" s="344"/>
      <c r="IQD19" s="344"/>
      <c r="IQE19" s="344"/>
      <c r="IQF19" s="344"/>
      <c r="IQG19" s="344"/>
      <c r="IQH19" s="344"/>
      <c r="IQI19" s="344"/>
      <c r="IQJ19" s="344"/>
      <c r="IQK19" s="344"/>
      <c r="IQL19" s="344"/>
      <c r="IQM19" s="344"/>
      <c r="IQN19" s="344"/>
      <c r="IQO19" s="344"/>
      <c r="IQP19" s="344"/>
      <c r="IQQ19" s="344"/>
      <c r="IQR19" s="344"/>
      <c r="IQS19" s="344"/>
      <c r="IQT19" s="344"/>
      <c r="IQU19" s="344"/>
      <c r="IQV19" s="344"/>
      <c r="IQW19" s="344"/>
      <c r="IQX19" s="344"/>
      <c r="IQY19" s="344"/>
      <c r="IQZ19" s="344"/>
      <c r="IRA19" s="344"/>
      <c r="IRB19" s="344"/>
      <c r="IRC19" s="344"/>
      <c r="IRD19" s="344"/>
      <c r="IRE19" s="344"/>
      <c r="IRF19" s="344"/>
      <c r="IRG19" s="344"/>
      <c r="IRH19" s="344"/>
      <c r="IRI19" s="344"/>
      <c r="IRJ19" s="344"/>
      <c r="IRK19" s="344"/>
      <c r="IRL19" s="344"/>
      <c r="IRM19" s="344"/>
      <c r="IRN19" s="344"/>
      <c r="IRO19" s="344"/>
      <c r="IRP19" s="344"/>
      <c r="IRQ19" s="344"/>
      <c r="IRR19" s="344"/>
      <c r="IRS19" s="344"/>
      <c r="IRT19" s="344"/>
      <c r="IRU19" s="344"/>
      <c r="IRV19" s="344"/>
      <c r="IRW19" s="344"/>
      <c r="IRX19" s="344"/>
      <c r="IRY19" s="344"/>
      <c r="IRZ19" s="344"/>
      <c r="ISA19" s="344"/>
      <c r="ISB19" s="344"/>
      <c r="ISC19" s="344"/>
      <c r="ISD19" s="344"/>
      <c r="ISE19" s="344"/>
      <c r="ISF19" s="344"/>
      <c r="ISG19" s="344"/>
      <c r="ISH19" s="344"/>
      <c r="ISI19" s="344"/>
      <c r="ISJ19" s="344"/>
      <c r="ISK19" s="344"/>
      <c r="ISL19" s="344"/>
      <c r="ISM19" s="344"/>
      <c r="ISN19" s="344"/>
      <c r="ISO19" s="344"/>
      <c r="ISP19" s="344"/>
      <c r="ISQ19" s="344"/>
      <c r="ISR19" s="344"/>
      <c r="ISS19" s="344"/>
      <c r="IST19" s="344"/>
      <c r="ISU19" s="344"/>
      <c r="ISV19" s="344"/>
      <c r="ISW19" s="344"/>
      <c r="ISX19" s="344"/>
      <c r="ISY19" s="344"/>
      <c r="ISZ19" s="344"/>
      <c r="ITA19" s="344"/>
      <c r="ITB19" s="344"/>
      <c r="ITC19" s="344"/>
      <c r="ITD19" s="344"/>
      <c r="ITE19" s="344"/>
      <c r="ITF19" s="344"/>
      <c r="ITG19" s="344"/>
      <c r="ITH19" s="344"/>
      <c r="ITI19" s="344"/>
      <c r="ITJ19" s="344"/>
      <c r="ITK19" s="344"/>
      <c r="ITL19" s="344"/>
      <c r="ITM19" s="344"/>
      <c r="ITN19" s="344"/>
      <c r="ITO19" s="344"/>
      <c r="ITP19" s="344"/>
      <c r="ITQ19" s="344"/>
      <c r="ITR19" s="344"/>
      <c r="ITS19" s="344"/>
      <c r="ITT19" s="344"/>
      <c r="ITU19" s="344"/>
      <c r="ITV19" s="344"/>
      <c r="ITW19" s="344"/>
      <c r="ITX19" s="344"/>
      <c r="ITY19" s="344"/>
      <c r="ITZ19" s="344"/>
      <c r="IUA19" s="344"/>
      <c r="IUB19" s="344"/>
      <c r="IUC19" s="344"/>
      <c r="IUD19" s="344"/>
      <c r="IUE19" s="344"/>
      <c r="IUF19" s="344"/>
      <c r="IUG19" s="344"/>
      <c r="IUH19" s="344"/>
      <c r="IUI19" s="344"/>
      <c r="IUJ19" s="344"/>
      <c r="IUK19" s="344"/>
      <c r="IUL19" s="344"/>
      <c r="IUM19" s="344"/>
      <c r="IUN19" s="344"/>
      <c r="IUO19" s="344"/>
      <c r="IUP19" s="344"/>
      <c r="IUQ19" s="344"/>
      <c r="IUR19" s="344"/>
      <c r="IUS19" s="344"/>
      <c r="IUT19" s="344"/>
      <c r="IUU19" s="344"/>
      <c r="IUV19" s="344"/>
      <c r="IUW19" s="344"/>
      <c r="IUX19" s="344"/>
      <c r="IUY19" s="344"/>
      <c r="IUZ19" s="344"/>
      <c r="IVA19" s="344"/>
      <c r="IVB19" s="344"/>
      <c r="IVC19" s="344"/>
      <c r="IVD19" s="344"/>
      <c r="IVE19" s="344"/>
      <c r="IVF19" s="344"/>
      <c r="IVG19" s="344"/>
      <c r="IVH19" s="344"/>
      <c r="IVI19" s="344"/>
      <c r="IVJ19" s="344"/>
      <c r="IVK19" s="344"/>
      <c r="IVL19" s="344"/>
      <c r="IVM19" s="344"/>
      <c r="IVN19" s="344"/>
      <c r="IVO19" s="344"/>
      <c r="IVP19" s="344"/>
      <c r="IVQ19" s="344"/>
      <c r="IVR19" s="344"/>
      <c r="IVS19" s="344"/>
      <c r="IVT19" s="344"/>
      <c r="IVU19" s="344"/>
      <c r="IVV19" s="344"/>
      <c r="IVW19" s="344"/>
      <c r="IVX19" s="344"/>
      <c r="IVY19" s="344"/>
      <c r="IVZ19" s="344"/>
      <c r="IWA19" s="344"/>
      <c r="IWB19" s="344"/>
      <c r="IWC19" s="344"/>
      <c r="IWD19" s="344"/>
      <c r="IWE19" s="344"/>
      <c r="IWF19" s="344"/>
      <c r="IWG19" s="344"/>
      <c r="IWH19" s="344"/>
      <c r="IWI19" s="344"/>
      <c r="IWJ19" s="344"/>
      <c r="IWK19" s="344"/>
      <c r="IWL19" s="344"/>
      <c r="IWM19" s="344"/>
      <c r="IWN19" s="344"/>
      <c r="IWO19" s="344"/>
      <c r="IWP19" s="344"/>
      <c r="IWQ19" s="344"/>
      <c r="IWR19" s="344"/>
      <c r="IWS19" s="344"/>
      <c r="IWT19" s="344"/>
      <c r="IWU19" s="344"/>
      <c r="IWV19" s="344"/>
      <c r="IWW19" s="344"/>
      <c r="IWX19" s="344"/>
      <c r="IWY19" s="344"/>
      <c r="IWZ19" s="344"/>
      <c r="IXA19" s="344"/>
      <c r="IXB19" s="344"/>
      <c r="IXC19" s="344"/>
      <c r="IXD19" s="344"/>
      <c r="IXE19" s="344"/>
      <c r="IXF19" s="344"/>
      <c r="IXG19" s="344"/>
      <c r="IXH19" s="344"/>
      <c r="IXI19" s="344"/>
      <c r="IXJ19" s="344"/>
      <c r="IXK19" s="344"/>
      <c r="IXL19" s="344"/>
      <c r="IXM19" s="344"/>
      <c r="IXN19" s="344"/>
      <c r="IXO19" s="344"/>
      <c r="IXP19" s="344"/>
      <c r="IXQ19" s="344"/>
      <c r="IXR19" s="344"/>
      <c r="IXS19" s="344"/>
      <c r="IXT19" s="344"/>
      <c r="IXU19" s="344"/>
      <c r="IXV19" s="344"/>
      <c r="IXW19" s="344"/>
      <c r="IXX19" s="344"/>
      <c r="IXY19" s="344"/>
      <c r="IXZ19" s="344"/>
      <c r="IYA19" s="344"/>
      <c r="IYB19" s="344"/>
      <c r="IYC19" s="344"/>
      <c r="IYD19" s="344"/>
      <c r="IYE19" s="344"/>
      <c r="IYF19" s="344"/>
      <c r="IYG19" s="344"/>
      <c r="IYH19" s="344"/>
      <c r="IYI19" s="344"/>
      <c r="IYJ19" s="344"/>
      <c r="IYK19" s="344"/>
      <c r="IYL19" s="344"/>
      <c r="IYM19" s="344"/>
      <c r="IYN19" s="344"/>
      <c r="IYO19" s="344"/>
      <c r="IYP19" s="344"/>
      <c r="IYQ19" s="344"/>
      <c r="IYR19" s="344"/>
      <c r="IYS19" s="344"/>
      <c r="IYT19" s="344"/>
      <c r="IYU19" s="344"/>
      <c r="IYV19" s="344"/>
      <c r="IYW19" s="344"/>
      <c r="IYX19" s="344"/>
      <c r="IYY19" s="344"/>
      <c r="IYZ19" s="344"/>
      <c r="IZA19" s="344"/>
      <c r="IZB19" s="344"/>
      <c r="IZC19" s="344"/>
      <c r="IZD19" s="344"/>
      <c r="IZE19" s="344"/>
      <c r="IZF19" s="344"/>
      <c r="IZG19" s="344"/>
      <c r="IZH19" s="344"/>
      <c r="IZI19" s="344"/>
      <c r="IZJ19" s="344"/>
      <c r="IZK19" s="344"/>
      <c r="IZL19" s="344"/>
      <c r="IZM19" s="344"/>
      <c r="IZN19" s="344"/>
      <c r="IZO19" s="344"/>
      <c r="IZP19" s="344"/>
      <c r="IZQ19" s="344"/>
      <c r="IZR19" s="344"/>
      <c r="IZS19" s="344"/>
      <c r="IZT19" s="344"/>
      <c r="IZU19" s="344"/>
      <c r="IZV19" s="344"/>
      <c r="IZW19" s="344"/>
      <c r="IZX19" s="344"/>
      <c r="IZY19" s="344"/>
      <c r="IZZ19" s="344"/>
      <c r="JAA19" s="344"/>
      <c r="JAB19" s="344"/>
      <c r="JAC19" s="344"/>
      <c r="JAD19" s="344"/>
      <c r="JAE19" s="344"/>
      <c r="JAF19" s="344"/>
      <c r="JAG19" s="344"/>
      <c r="JAH19" s="344"/>
      <c r="JAI19" s="344"/>
      <c r="JAJ19" s="344"/>
      <c r="JAK19" s="344"/>
      <c r="JAL19" s="344"/>
      <c r="JAM19" s="344"/>
      <c r="JAN19" s="344"/>
      <c r="JAO19" s="344"/>
      <c r="JAP19" s="344"/>
      <c r="JAQ19" s="344"/>
      <c r="JAR19" s="344"/>
      <c r="JAS19" s="344"/>
      <c r="JAT19" s="344"/>
      <c r="JAU19" s="344"/>
      <c r="JAV19" s="344"/>
      <c r="JAW19" s="344"/>
      <c r="JAX19" s="344"/>
      <c r="JAY19" s="344"/>
      <c r="JAZ19" s="344"/>
      <c r="JBA19" s="344"/>
      <c r="JBB19" s="344"/>
      <c r="JBC19" s="344"/>
      <c r="JBD19" s="344"/>
      <c r="JBE19" s="344"/>
      <c r="JBF19" s="344"/>
      <c r="JBG19" s="344"/>
      <c r="JBH19" s="344"/>
      <c r="JBI19" s="344"/>
      <c r="JBJ19" s="344"/>
      <c r="JBK19" s="344"/>
      <c r="JBL19" s="344"/>
      <c r="JBM19" s="344"/>
      <c r="JBN19" s="344"/>
      <c r="JBO19" s="344"/>
      <c r="JBP19" s="344"/>
      <c r="JBQ19" s="344"/>
      <c r="JBR19" s="344"/>
      <c r="JBS19" s="344"/>
      <c r="JBT19" s="344"/>
      <c r="JBU19" s="344"/>
      <c r="JBV19" s="344"/>
      <c r="JBW19" s="344"/>
      <c r="JBX19" s="344"/>
      <c r="JBY19" s="344"/>
      <c r="JBZ19" s="344"/>
      <c r="JCA19" s="344"/>
      <c r="JCB19" s="344"/>
      <c r="JCC19" s="344"/>
      <c r="JCD19" s="344"/>
      <c r="JCE19" s="344"/>
      <c r="JCF19" s="344"/>
      <c r="JCG19" s="344"/>
      <c r="JCH19" s="344"/>
      <c r="JCI19" s="344"/>
      <c r="JCJ19" s="344"/>
      <c r="JCK19" s="344"/>
      <c r="JCL19" s="344"/>
      <c r="JCM19" s="344"/>
      <c r="JCN19" s="344"/>
      <c r="JCO19" s="344"/>
      <c r="JCP19" s="344"/>
      <c r="JCQ19" s="344"/>
      <c r="JCR19" s="344"/>
      <c r="JCS19" s="344"/>
      <c r="JCT19" s="344"/>
      <c r="JCU19" s="344"/>
      <c r="JCV19" s="344"/>
      <c r="JCW19" s="344"/>
      <c r="JCX19" s="344"/>
      <c r="JCY19" s="344"/>
      <c r="JCZ19" s="344"/>
      <c r="JDA19" s="344"/>
      <c r="JDB19" s="344"/>
      <c r="JDC19" s="344"/>
      <c r="JDD19" s="344"/>
      <c r="JDE19" s="344"/>
      <c r="JDF19" s="344"/>
      <c r="JDG19" s="344"/>
      <c r="JDH19" s="344"/>
      <c r="JDI19" s="344"/>
      <c r="JDJ19" s="344"/>
      <c r="JDK19" s="344"/>
      <c r="JDL19" s="344"/>
      <c r="JDM19" s="344"/>
      <c r="JDN19" s="344"/>
      <c r="JDO19" s="344"/>
      <c r="JDP19" s="344"/>
      <c r="JDQ19" s="344"/>
      <c r="JDR19" s="344"/>
      <c r="JDS19" s="344"/>
      <c r="JDT19" s="344"/>
      <c r="JDU19" s="344"/>
      <c r="JDV19" s="344"/>
      <c r="JDW19" s="344"/>
      <c r="JDX19" s="344"/>
      <c r="JDY19" s="344"/>
      <c r="JDZ19" s="344"/>
      <c r="JEA19" s="344"/>
      <c r="JEB19" s="344"/>
      <c r="JEC19" s="344"/>
      <c r="JED19" s="344"/>
      <c r="JEE19" s="344"/>
      <c r="JEF19" s="344"/>
      <c r="JEG19" s="344"/>
      <c r="JEH19" s="344"/>
      <c r="JEI19" s="344"/>
      <c r="JEJ19" s="344"/>
      <c r="JEK19" s="344"/>
      <c r="JEL19" s="344"/>
      <c r="JEM19" s="344"/>
      <c r="JEN19" s="344"/>
      <c r="JEO19" s="344"/>
      <c r="JEP19" s="344"/>
      <c r="JEQ19" s="344"/>
      <c r="JER19" s="344"/>
      <c r="JES19" s="344"/>
      <c r="JET19" s="344"/>
      <c r="JEU19" s="344"/>
      <c r="JEV19" s="344"/>
      <c r="JEW19" s="344"/>
      <c r="JEX19" s="344"/>
      <c r="JEY19" s="344"/>
      <c r="JEZ19" s="344"/>
      <c r="JFA19" s="344"/>
      <c r="JFB19" s="344"/>
      <c r="JFC19" s="344"/>
      <c r="JFD19" s="344"/>
      <c r="JFE19" s="344"/>
      <c r="JFF19" s="344"/>
      <c r="JFG19" s="344"/>
      <c r="JFH19" s="344"/>
      <c r="JFI19" s="344"/>
      <c r="JFJ19" s="344"/>
      <c r="JFK19" s="344"/>
      <c r="JFL19" s="344"/>
      <c r="JFM19" s="344"/>
      <c r="JFN19" s="344"/>
      <c r="JFO19" s="344"/>
      <c r="JFP19" s="344"/>
      <c r="JFQ19" s="344"/>
      <c r="JFR19" s="344"/>
      <c r="JFS19" s="344"/>
      <c r="JFT19" s="344"/>
      <c r="JFU19" s="344"/>
      <c r="JFV19" s="344"/>
      <c r="JFW19" s="344"/>
      <c r="JFX19" s="344"/>
      <c r="JFY19" s="344"/>
      <c r="JFZ19" s="344"/>
      <c r="JGA19" s="344"/>
      <c r="JGB19" s="344"/>
      <c r="JGC19" s="344"/>
      <c r="JGD19" s="344"/>
      <c r="JGE19" s="344"/>
      <c r="JGF19" s="344"/>
      <c r="JGG19" s="344"/>
      <c r="JGH19" s="344"/>
      <c r="JGI19" s="344"/>
      <c r="JGJ19" s="344"/>
      <c r="JGK19" s="344"/>
      <c r="JGL19" s="344"/>
      <c r="JGM19" s="344"/>
      <c r="JGN19" s="344"/>
      <c r="JGO19" s="344"/>
      <c r="JGP19" s="344"/>
      <c r="JGQ19" s="344"/>
      <c r="JGR19" s="344"/>
      <c r="JGS19" s="344"/>
      <c r="JGT19" s="344"/>
      <c r="JGU19" s="344"/>
      <c r="JGV19" s="344"/>
      <c r="JGW19" s="344"/>
      <c r="JGX19" s="344"/>
      <c r="JGY19" s="344"/>
      <c r="JGZ19" s="344"/>
      <c r="JHA19" s="344"/>
      <c r="JHB19" s="344"/>
      <c r="JHC19" s="344"/>
      <c r="JHD19" s="344"/>
      <c r="JHE19" s="344"/>
      <c r="JHF19" s="344"/>
      <c r="JHG19" s="344"/>
      <c r="JHH19" s="344"/>
      <c r="JHI19" s="344"/>
      <c r="JHJ19" s="344"/>
      <c r="JHK19" s="344"/>
      <c r="JHL19" s="344"/>
      <c r="JHM19" s="344"/>
      <c r="JHN19" s="344"/>
      <c r="JHO19" s="344"/>
      <c r="JHP19" s="344"/>
      <c r="JHQ19" s="344"/>
      <c r="JHR19" s="344"/>
      <c r="JHS19" s="344"/>
      <c r="JHT19" s="344"/>
      <c r="JHU19" s="344"/>
      <c r="JHV19" s="344"/>
      <c r="JHW19" s="344"/>
      <c r="JHX19" s="344"/>
      <c r="JHY19" s="344"/>
      <c r="JHZ19" s="344"/>
      <c r="JIA19" s="344"/>
      <c r="JIB19" s="344"/>
      <c r="JIC19" s="344"/>
      <c r="JID19" s="344"/>
      <c r="JIE19" s="344"/>
      <c r="JIF19" s="344"/>
      <c r="JIG19" s="344"/>
      <c r="JIH19" s="344"/>
      <c r="JII19" s="344"/>
      <c r="JIJ19" s="344"/>
      <c r="JIK19" s="344"/>
      <c r="JIL19" s="344"/>
      <c r="JIM19" s="344"/>
      <c r="JIN19" s="344"/>
      <c r="JIO19" s="344"/>
      <c r="JIP19" s="344"/>
      <c r="JIQ19" s="344"/>
      <c r="JIR19" s="344"/>
      <c r="JIS19" s="344"/>
      <c r="JIT19" s="344"/>
      <c r="JIU19" s="344"/>
      <c r="JIV19" s="344"/>
      <c r="JIW19" s="344"/>
      <c r="JIX19" s="344"/>
      <c r="JIY19" s="344"/>
      <c r="JIZ19" s="344"/>
      <c r="JJA19" s="344"/>
      <c r="JJB19" s="344"/>
      <c r="JJC19" s="344"/>
      <c r="JJD19" s="344"/>
      <c r="JJE19" s="344"/>
      <c r="JJF19" s="344"/>
      <c r="JJG19" s="344"/>
      <c r="JJH19" s="344"/>
      <c r="JJI19" s="344"/>
      <c r="JJJ19" s="344"/>
      <c r="JJK19" s="344"/>
      <c r="JJL19" s="344"/>
      <c r="JJM19" s="344"/>
      <c r="JJN19" s="344"/>
      <c r="JJO19" s="344"/>
      <c r="JJP19" s="344"/>
      <c r="JJQ19" s="344"/>
      <c r="JJR19" s="344"/>
      <c r="JJS19" s="344"/>
      <c r="JJT19" s="344"/>
      <c r="JJU19" s="344"/>
      <c r="JJV19" s="344"/>
      <c r="JJW19" s="344"/>
      <c r="JJX19" s="344"/>
      <c r="JJY19" s="344"/>
      <c r="JJZ19" s="344"/>
      <c r="JKA19" s="344"/>
      <c r="JKB19" s="344"/>
      <c r="JKC19" s="344"/>
      <c r="JKD19" s="344"/>
      <c r="JKE19" s="344"/>
      <c r="JKF19" s="344"/>
      <c r="JKG19" s="344"/>
      <c r="JKH19" s="344"/>
      <c r="JKI19" s="344"/>
      <c r="JKJ19" s="344"/>
      <c r="JKK19" s="344"/>
      <c r="JKL19" s="344"/>
      <c r="JKM19" s="344"/>
      <c r="JKN19" s="344"/>
      <c r="JKO19" s="344"/>
      <c r="JKP19" s="344"/>
      <c r="JKQ19" s="344"/>
      <c r="JKR19" s="344"/>
      <c r="JKS19" s="344"/>
      <c r="JKT19" s="344"/>
      <c r="JKU19" s="344"/>
      <c r="JKV19" s="344"/>
      <c r="JKW19" s="344"/>
      <c r="JKX19" s="344"/>
      <c r="JKY19" s="344"/>
      <c r="JKZ19" s="344"/>
      <c r="JLA19" s="344"/>
      <c r="JLB19" s="344"/>
      <c r="JLC19" s="344"/>
      <c r="JLD19" s="344"/>
      <c r="JLE19" s="344"/>
      <c r="JLF19" s="344"/>
      <c r="JLG19" s="344"/>
      <c r="JLH19" s="344"/>
      <c r="JLI19" s="344"/>
      <c r="JLJ19" s="344"/>
      <c r="JLK19" s="344"/>
      <c r="JLL19" s="344"/>
      <c r="JLM19" s="344"/>
      <c r="JLN19" s="344"/>
      <c r="JLO19" s="344"/>
      <c r="JLP19" s="344"/>
      <c r="JLQ19" s="344"/>
      <c r="JLR19" s="344"/>
      <c r="JLS19" s="344"/>
      <c r="JLT19" s="344"/>
      <c r="JLU19" s="344"/>
      <c r="JLV19" s="344"/>
      <c r="JLW19" s="344"/>
      <c r="JLX19" s="344"/>
      <c r="JLY19" s="344"/>
      <c r="JLZ19" s="344"/>
      <c r="JMA19" s="344"/>
      <c r="JMB19" s="344"/>
      <c r="JMC19" s="344"/>
      <c r="JMD19" s="344"/>
      <c r="JME19" s="344"/>
      <c r="JMF19" s="344"/>
      <c r="JMG19" s="344"/>
      <c r="JMH19" s="344"/>
      <c r="JMI19" s="344"/>
      <c r="JMJ19" s="344"/>
      <c r="JMK19" s="344"/>
      <c r="JML19" s="344"/>
      <c r="JMM19" s="344"/>
      <c r="JMN19" s="344"/>
      <c r="JMO19" s="344"/>
      <c r="JMP19" s="344"/>
      <c r="JMQ19" s="344"/>
      <c r="JMR19" s="344"/>
      <c r="JMS19" s="344"/>
      <c r="JMT19" s="344"/>
      <c r="JMU19" s="344"/>
      <c r="JMV19" s="344"/>
      <c r="JMW19" s="344"/>
      <c r="JMX19" s="344"/>
      <c r="JMY19" s="344"/>
      <c r="JMZ19" s="344"/>
      <c r="JNA19" s="344"/>
      <c r="JNB19" s="344"/>
      <c r="JNC19" s="344"/>
      <c r="JND19" s="344"/>
      <c r="JNE19" s="344"/>
      <c r="JNF19" s="344"/>
      <c r="JNG19" s="344"/>
      <c r="JNH19" s="344"/>
      <c r="JNI19" s="344"/>
      <c r="JNJ19" s="344"/>
      <c r="JNK19" s="344"/>
      <c r="JNL19" s="344"/>
      <c r="JNM19" s="344"/>
      <c r="JNN19" s="344"/>
      <c r="JNO19" s="344"/>
      <c r="JNP19" s="344"/>
      <c r="JNQ19" s="344"/>
      <c r="JNR19" s="344"/>
      <c r="JNS19" s="344"/>
      <c r="JNT19" s="344"/>
      <c r="JNU19" s="344"/>
      <c r="JNV19" s="344"/>
      <c r="JNW19" s="344"/>
      <c r="JNX19" s="344"/>
      <c r="JNY19" s="344"/>
      <c r="JNZ19" s="344"/>
      <c r="JOA19" s="344"/>
      <c r="JOB19" s="344"/>
      <c r="JOC19" s="344"/>
      <c r="JOD19" s="344"/>
      <c r="JOE19" s="344"/>
      <c r="JOF19" s="344"/>
      <c r="JOG19" s="344"/>
      <c r="JOH19" s="344"/>
      <c r="JOI19" s="344"/>
      <c r="JOJ19" s="344"/>
      <c r="JOK19" s="344"/>
      <c r="JOL19" s="344"/>
      <c r="JOM19" s="344"/>
      <c r="JON19" s="344"/>
      <c r="JOO19" s="344"/>
      <c r="JOP19" s="344"/>
      <c r="JOQ19" s="344"/>
      <c r="JOR19" s="344"/>
      <c r="JOS19" s="344"/>
      <c r="JOT19" s="344"/>
      <c r="JOU19" s="344"/>
      <c r="JOV19" s="344"/>
      <c r="JOW19" s="344"/>
      <c r="JOX19" s="344"/>
      <c r="JOY19" s="344"/>
      <c r="JOZ19" s="344"/>
      <c r="JPA19" s="344"/>
      <c r="JPB19" s="344"/>
      <c r="JPC19" s="344"/>
      <c r="JPD19" s="344"/>
      <c r="JPE19" s="344"/>
      <c r="JPF19" s="344"/>
      <c r="JPG19" s="344"/>
      <c r="JPH19" s="344"/>
      <c r="JPI19" s="344"/>
      <c r="JPJ19" s="344"/>
      <c r="JPK19" s="344"/>
      <c r="JPL19" s="344"/>
      <c r="JPM19" s="344"/>
      <c r="JPN19" s="344"/>
      <c r="JPO19" s="344"/>
      <c r="JPP19" s="344"/>
      <c r="JPQ19" s="344"/>
      <c r="JPR19" s="344"/>
      <c r="JPS19" s="344"/>
      <c r="JPT19" s="344"/>
      <c r="JPU19" s="344"/>
      <c r="JPV19" s="344"/>
      <c r="JPW19" s="344"/>
      <c r="JPX19" s="344"/>
      <c r="JPY19" s="344"/>
      <c r="JPZ19" s="344"/>
      <c r="JQA19" s="344"/>
      <c r="JQB19" s="344"/>
      <c r="JQC19" s="344"/>
      <c r="JQD19" s="344"/>
      <c r="JQE19" s="344"/>
      <c r="JQF19" s="344"/>
      <c r="JQG19" s="344"/>
      <c r="JQH19" s="344"/>
      <c r="JQI19" s="344"/>
      <c r="JQJ19" s="344"/>
      <c r="JQK19" s="344"/>
      <c r="JQL19" s="344"/>
      <c r="JQM19" s="344"/>
      <c r="JQN19" s="344"/>
      <c r="JQO19" s="344"/>
      <c r="JQP19" s="344"/>
      <c r="JQQ19" s="344"/>
      <c r="JQR19" s="344"/>
      <c r="JQS19" s="344"/>
      <c r="JQT19" s="344"/>
      <c r="JQU19" s="344"/>
      <c r="JQV19" s="344"/>
      <c r="JQW19" s="344"/>
      <c r="JQX19" s="344"/>
      <c r="JQY19" s="344"/>
      <c r="JQZ19" s="344"/>
      <c r="JRA19" s="344"/>
      <c r="JRB19" s="344"/>
      <c r="JRC19" s="344"/>
      <c r="JRD19" s="344"/>
      <c r="JRE19" s="344"/>
      <c r="JRF19" s="344"/>
      <c r="JRG19" s="344"/>
      <c r="JRH19" s="344"/>
      <c r="JRI19" s="344"/>
      <c r="JRJ19" s="344"/>
      <c r="JRK19" s="344"/>
      <c r="JRL19" s="344"/>
      <c r="JRM19" s="344"/>
      <c r="JRN19" s="344"/>
      <c r="JRO19" s="344"/>
      <c r="JRP19" s="344"/>
      <c r="JRQ19" s="344"/>
      <c r="JRR19" s="344"/>
      <c r="JRS19" s="344"/>
      <c r="JRT19" s="344"/>
      <c r="JRU19" s="344"/>
      <c r="JRV19" s="344"/>
      <c r="JRW19" s="344"/>
      <c r="JRX19" s="344"/>
      <c r="JRY19" s="344"/>
      <c r="JRZ19" s="344"/>
      <c r="JSA19" s="344"/>
      <c r="JSB19" s="344"/>
      <c r="JSC19" s="344"/>
      <c r="JSD19" s="344"/>
      <c r="JSE19" s="344"/>
      <c r="JSF19" s="344"/>
      <c r="JSG19" s="344"/>
      <c r="JSH19" s="344"/>
      <c r="JSI19" s="344"/>
      <c r="JSJ19" s="344"/>
      <c r="JSK19" s="344"/>
      <c r="JSL19" s="344"/>
      <c r="JSM19" s="344"/>
      <c r="JSN19" s="344"/>
      <c r="JSO19" s="344"/>
      <c r="JSP19" s="344"/>
      <c r="JSQ19" s="344"/>
      <c r="JSR19" s="344"/>
      <c r="JSS19" s="344"/>
      <c r="JST19" s="344"/>
      <c r="JSU19" s="344"/>
      <c r="JSV19" s="344"/>
      <c r="JSW19" s="344"/>
      <c r="JSX19" s="344"/>
      <c r="JSY19" s="344"/>
      <c r="JSZ19" s="344"/>
      <c r="JTA19" s="344"/>
      <c r="JTB19" s="344"/>
      <c r="JTC19" s="344"/>
      <c r="JTD19" s="344"/>
      <c r="JTE19" s="344"/>
      <c r="JTF19" s="344"/>
      <c r="JTG19" s="344"/>
      <c r="JTH19" s="344"/>
      <c r="JTI19" s="344"/>
      <c r="JTJ19" s="344"/>
      <c r="JTK19" s="344"/>
      <c r="JTL19" s="344"/>
      <c r="JTM19" s="344"/>
      <c r="JTN19" s="344"/>
      <c r="JTO19" s="344"/>
      <c r="JTP19" s="344"/>
      <c r="JTQ19" s="344"/>
      <c r="JTR19" s="344"/>
      <c r="JTS19" s="344"/>
      <c r="JTT19" s="344"/>
      <c r="JTU19" s="344"/>
      <c r="JTV19" s="344"/>
      <c r="JTW19" s="344"/>
      <c r="JTX19" s="344"/>
      <c r="JTY19" s="344"/>
      <c r="JTZ19" s="344"/>
      <c r="JUA19" s="344"/>
      <c r="JUB19" s="344"/>
      <c r="JUC19" s="344"/>
      <c r="JUD19" s="344"/>
      <c r="JUE19" s="344"/>
      <c r="JUF19" s="344"/>
      <c r="JUG19" s="344"/>
      <c r="JUH19" s="344"/>
      <c r="JUI19" s="344"/>
      <c r="JUJ19" s="344"/>
      <c r="JUK19" s="344"/>
      <c r="JUL19" s="344"/>
      <c r="JUM19" s="344"/>
      <c r="JUN19" s="344"/>
      <c r="JUO19" s="344"/>
      <c r="JUP19" s="344"/>
      <c r="JUQ19" s="344"/>
      <c r="JUR19" s="344"/>
      <c r="JUS19" s="344"/>
      <c r="JUT19" s="344"/>
      <c r="JUU19" s="344"/>
      <c r="JUV19" s="344"/>
      <c r="JUW19" s="344"/>
      <c r="JUX19" s="344"/>
      <c r="JUY19" s="344"/>
      <c r="JUZ19" s="344"/>
      <c r="JVA19" s="344"/>
      <c r="JVB19" s="344"/>
      <c r="JVC19" s="344"/>
      <c r="JVD19" s="344"/>
      <c r="JVE19" s="344"/>
      <c r="JVF19" s="344"/>
      <c r="JVG19" s="344"/>
      <c r="JVH19" s="344"/>
      <c r="JVI19" s="344"/>
      <c r="JVJ19" s="344"/>
      <c r="JVK19" s="344"/>
      <c r="JVL19" s="344"/>
      <c r="JVM19" s="344"/>
      <c r="JVN19" s="344"/>
      <c r="JVO19" s="344"/>
      <c r="JVP19" s="344"/>
      <c r="JVQ19" s="344"/>
      <c r="JVR19" s="344"/>
      <c r="JVS19" s="344"/>
      <c r="JVT19" s="344"/>
      <c r="JVU19" s="344"/>
      <c r="JVV19" s="344"/>
      <c r="JVW19" s="344"/>
      <c r="JVX19" s="344"/>
      <c r="JVY19" s="344"/>
      <c r="JVZ19" s="344"/>
      <c r="JWA19" s="344"/>
      <c r="JWB19" s="344"/>
      <c r="JWC19" s="344"/>
      <c r="JWD19" s="344"/>
      <c r="JWE19" s="344"/>
      <c r="JWF19" s="344"/>
      <c r="JWG19" s="344"/>
      <c r="JWH19" s="344"/>
      <c r="JWI19" s="344"/>
      <c r="JWJ19" s="344"/>
      <c r="JWK19" s="344"/>
      <c r="JWL19" s="344"/>
      <c r="JWM19" s="344"/>
      <c r="JWN19" s="344"/>
      <c r="JWO19" s="344"/>
      <c r="JWP19" s="344"/>
      <c r="JWQ19" s="344"/>
      <c r="JWR19" s="344"/>
      <c r="JWS19" s="344"/>
      <c r="JWT19" s="344"/>
      <c r="JWU19" s="344"/>
      <c r="JWV19" s="344"/>
      <c r="JWW19" s="344"/>
      <c r="JWX19" s="344"/>
      <c r="JWY19" s="344"/>
      <c r="JWZ19" s="344"/>
      <c r="JXA19" s="344"/>
      <c r="JXB19" s="344"/>
      <c r="JXC19" s="344"/>
      <c r="JXD19" s="344"/>
      <c r="JXE19" s="344"/>
      <c r="JXF19" s="344"/>
      <c r="JXG19" s="344"/>
      <c r="JXH19" s="344"/>
      <c r="JXI19" s="344"/>
      <c r="JXJ19" s="344"/>
      <c r="JXK19" s="344"/>
      <c r="JXL19" s="344"/>
      <c r="JXM19" s="344"/>
      <c r="JXN19" s="344"/>
      <c r="JXO19" s="344"/>
      <c r="JXP19" s="344"/>
      <c r="JXQ19" s="344"/>
      <c r="JXR19" s="344"/>
      <c r="JXS19" s="344"/>
      <c r="JXT19" s="344"/>
      <c r="JXU19" s="344"/>
      <c r="JXV19" s="344"/>
      <c r="JXW19" s="344"/>
      <c r="JXX19" s="344"/>
      <c r="JXY19" s="344"/>
      <c r="JXZ19" s="344"/>
      <c r="JYA19" s="344"/>
      <c r="JYB19" s="344"/>
      <c r="JYC19" s="344"/>
      <c r="JYD19" s="344"/>
      <c r="JYE19" s="344"/>
      <c r="JYF19" s="344"/>
      <c r="JYG19" s="344"/>
      <c r="JYH19" s="344"/>
      <c r="JYI19" s="344"/>
      <c r="JYJ19" s="344"/>
      <c r="JYK19" s="344"/>
      <c r="JYL19" s="344"/>
      <c r="JYM19" s="344"/>
      <c r="JYN19" s="344"/>
      <c r="JYO19" s="344"/>
      <c r="JYP19" s="344"/>
      <c r="JYQ19" s="344"/>
      <c r="JYR19" s="344"/>
      <c r="JYS19" s="344"/>
      <c r="JYT19" s="344"/>
      <c r="JYU19" s="344"/>
      <c r="JYV19" s="344"/>
      <c r="JYW19" s="344"/>
      <c r="JYX19" s="344"/>
      <c r="JYY19" s="344"/>
      <c r="JYZ19" s="344"/>
      <c r="JZA19" s="344"/>
      <c r="JZB19" s="344"/>
      <c r="JZC19" s="344"/>
      <c r="JZD19" s="344"/>
      <c r="JZE19" s="344"/>
      <c r="JZF19" s="344"/>
      <c r="JZG19" s="344"/>
      <c r="JZH19" s="344"/>
      <c r="JZI19" s="344"/>
      <c r="JZJ19" s="344"/>
      <c r="JZK19" s="344"/>
      <c r="JZL19" s="344"/>
      <c r="JZM19" s="344"/>
      <c r="JZN19" s="344"/>
      <c r="JZO19" s="344"/>
      <c r="JZP19" s="344"/>
      <c r="JZQ19" s="344"/>
      <c r="JZR19" s="344"/>
      <c r="JZS19" s="344"/>
      <c r="JZT19" s="344"/>
      <c r="JZU19" s="344"/>
      <c r="JZV19" s="344"/>
      <c r="JZW19" s="344"/>
      <c r="JZX19" s="344"/>
      <c r="JZY19" s="344"/>
      <c r="JZZ19" s="344"/>
      <c r="KAA19" s="344"/>
      <c r="KAB19" s="344"/>
      <c r="KAC19" s="344"/>
      <c r="KAD19" s="344"/>
      <c r="KAE19" s="344"/>
      <c r="KAF19" s="344"/>
      <c r="KAG19" s="344"/>
      <c r="KAH19" s="344"/>
      <c r="KAI19" s="344"/>
      <c r="KAJ19" s="344"/>
      <c r="KAK19" s="344"/>
      <c r="KAL19" s="344"/>
      <c r="KAM19" s="344"/>
      <c r="KAN19" s="344"/>
      <c r="KAO19" s="344"/>
      <c r="KAP19" s="344"/>
      <c r="KAQ19" s="344"/>
      <c r="KAR19" s="344"/>
      <c r="KAS19" s="344"/>
      <c r="KAT19" s="344"/>
      <c r="KAU19" s="344"/>
      <c r="KAV19" s="344"/>
      <c r="KAW19" s="344"/>
      <c r="KAX19" s="344"/>
      <c r="KAY19" s="344"/>
      <c r="KAZ19" s="344"/>
      <c r="KBA19" s="344"/>
      <c r="KBB19" s="344"/>
      <c r="KBC19" s="344"/>
      <c r="KBD19" s="344"/>
      <c r="KBE19" s="344"/>
      <c r="KBF19" s="344"/>
      <c r="KBG19" s="344"/>
      <c r="KBH19" s="344"/>
      <c r="KBI19" s="344"/>
      <c r="KBJ19" s="344"/>
      <c r="KBK19" s="344"/>
      <c r="KBL19" s="344"/>
      <c r="KBM19" s="344"/>
      <c r="KBN19" s="344"/>
      <c r="KBO19" s="344"/>
      <c r="KBP19" s="344"/>
      <c r="KBQ19" s="344"/>
      <c r="KBR19" s="344"/>
      <c r="KBS19" s="344"/>
      <c r="KBT19" s="344"/>
      <c r="KBU19" s="344"/>
      <c r="KBV19" s="344"/>
      <c r="KBW19" s="344"/>
      <c r="KBX19" s="344"/>
      <c r="KBY19" s="344"/>
      <c r="KBZ19" s="344"/>
      <c r="KCA19" s="344"/>
      <c r="KCB19" s="344"/>
      <c r="KCC19" s="344"/>
      <c r="KCD19" s="344"/>
      <c r="KCE19" s="344"/>
      <c r="KCF19" s="344"/>
      <c r="KCG19" s="344"/>
      <c r="KCH19" s="344"/>
      <c r="KCI19" s="344"/>
      <c r="KCJ19" s="344"/>
      <c r="KCK19" s="344"/>
      <c r="KCL19" s="344"/>
      <c r="KCM19" s="344"/>
      <c r="KCN19" s="344"/>
      <c r="KCO19" s="344"/>
      <c r="KCP19" s="344"/>
      <c r="KCQ19" s="344"/>
      <c r="KCR19" s="344"/>
      <c r="KCS19" s="344"/>
      <c r="KCT19" s="344"/>
      <c r="KCU19" s="344"/>
      <c r="KCV19" s="344"/>
      <c r="KCW19" s="344"/>
      <c r="KCX19" s="344"/>
      <c r="KCY19" s="344"/>
      <c r="KCZ19" s="344"/>
      <c r="KDA19" s="344"/>
      <c r="KDB19" s="344"/>
      <c r="KDC19" s="344"/>
      <c r="KDD19" s="344"/>
      <c r="KDE19" s="344"/>
      <c r="KDF19" s="344"/>
      <c r="KDG19" s="344"/>
      <c r="KDH19" s="344"/>
      <c r="KDI19" s="344"/>
      <c r="KDJ19" s="344"/>
      <c r="KDK19" s="344"/>
      <c r="KDL19" s="344"/>
      <c r="KDM19" s="344"/>
      <c r="KDN19" s="344"/>
      <c r="KDO19" s="344"/>
      <c r="KDP19" s="344"/>
      <c r="KDQ19" s="344"/>
      <c r="KDR19" s="344"/>
      <c r="KDS19" s="344"/>
      <c r="KDT19" s="344"/>
      <c r="KDU19" s="344"/>
      <c r="KDV19" s="344"/>
      <c r="KDW19" s="344"/>
      <c r="KDX19" s="344"/>
      <c r="KDY19" s="344"/>
      <c r="KDZ19" s="344"/>
      <c r="KEA19" s="344"/>
      <c r="KEB19" s="344"/>
      <c r="KEC19" s="344"/>
      <c r="KED19" s="344"/>
      <c r="KEE19" s="344"/>
      <c r="KEF19" s="344"/>
      <c r="KEG19" s="344"/>
      <c r="KEH19" s="344"/>
      <c r="KEI19" s="344"/>
      <c r="KEJ19" s="344"/>
      <c r="KEK19" s="344"/>
      <c r="KEL19" s="344"/>
      <c r="KEM19" s="344"/>
      <c r="KEN19" s="344"/>
      <c r="KEO19" s="344"/>
      <c r="KEP19" s="344"/>
      <c r="KEQ19" s="344"/>
      <c r="KER19" s="344"/>
      <c r="KES19" s="344"/>
      <c r="KET19" s="344"/>
      <c r="KEU19" s="344"/>
      <c r="KEV19" s="344"/>
      <c r="KEW19" s="344"/>
      <c r="KEX19" s="344"/>
      <c r="KEY19" s="344"/>
      <c r="KEZ19" s="344"/>
      <c r="KFA19" s="344"/>
      <c r="KFB19" s="344"/>
      <c r="KFC19" s="344"/>
      <c r="KFD19" s="344"/>
      <c r="KFE19" s="344"/>
      <c r="KFF19" s="344"/>
      <c r="KFG19" s="344"/>
      <c r="KFH19" s="344"/>
      <c r="KFI19" s="344"/>
      <c r="KFJ19" s="344"/>
      <c r="KFK19" s="344"/>
      <c r="KFL19" s="344"/>
      <c r="KFM19" s="344"/>
      <c r="KFN19" s="344"/>
      <c r="KFO19" s="344"/>
      <c r="KFP19" s="344"/>
      <c r="KFQ19" s="344"/>
      <c r="KFR19" s="344"/>
      <c r="KFS19" s="344"/>
      <c r="KFT19" s="344"/>
      <c r="KFU19" s="344"/>
      <c r="KFV19" s="344"/>
      <c r="KFW19" s="344"/>
      <c r="KFX19" s="344"/>
      <c r="KFY19" s="344"/>
      <c r="KFZ19" s="344"/>
      <c r="KGA19" s="344"/>
      <c r="KGB19" s="344"/>
      <c r="KGC19" s="344"/>
      <c r="KGD19" s="344"/>
      <c r="KGE19" s="344"/>
      <c r="KGF19" s="344"/>
      <c r="KGG19" s="344"/>
      <c r="KGH19" s="344"/>
      <c r="KGI19" s="344"/>
      <c r="KGJ19" s="344"/>
      <c r="KGK19" s="344"/>
      <c r="KGL19" s="344"/>
      <c r="KGM19" s="344"/>
      <c r="KGN19" s="344"/>
      <c r="KGO19" s="344"/>
      <c r="KGP19" s="344"/>
      <c r="KGQ19" s="344"/>
      <c r="KGR19" s="344"/>
      <c r="KGS19" s="344"/>
      <c r="KGT19" s="344"/>
      <c r="KGU19" s="344"/>
      <c r="KGV19" s="344"/>
      <c r="KGW19" s="344"/>
      <c r="KGX19" s="344"/>
      <c r="KGY19" s="344"/>
      <c r="KGZ19" s="344"/>
      <c r="KHA19" s="344"/>
      <c r="KHB19" s="344"/>
      <c r="KHC19" s="344"/>
      <c r="KHD19" s="344"/>
      <c r="KHE19" s="344"/>
      <c r="KHF19" s="344"/>
      <c r="KHG19" s="344"/>
      <c r="KHH19" s="344"/>
      <c r="KHI19" s="344"/>
      <c r="KHJ19" s="344"/>
      <c r="KHK19" s="344"/>
      <c r="KHL19" s="344"/>
      <c r="KHM19" s="344"/>
      <c r="KHN19" s="344"/>
      <c r="KHO19" s="344"/>
      <c r="KHP19" s="344"/>
      <c r="KHQ19" s="344"/>
      <c r="KHR19" s="344"/>
      <c r="KHS19" s="344"/>
      <c r="KHT19" s="344"/>
      <c r="KHU19" s="344"/>
      <c r="KHV19" s="344"/>
      <c r="KHW19" s="344"/>
      <c r="KHX19" s="344"/>
      <c r="KHY19" s="344"/>
      <c r="KHZ19" s="344"/>
      <c r="KIA19" s="344"/>
      <c r="KIB19" s="344"/>
      <c r="KIC19" s="344"/>
      <c r="KID19" s="344"/>
      <c r="KIE19" s="344"/>
      <c r="KIF19" s="344"/>
      <c r="KIG19" s="344"/>
      <c r="KIH19" s="344"/>
      <c r="KII19" s="344"/>
      <c r="KIJ19" s="344"/>
      <c r="KIK19" s="344"/>
      <c r="KIL19" s="344"/>
      <c r="KIM19" s="344"/>
      <c r="KIN19" s="344"/>
      <c r="KIO19" s="344"/>
      <c r="KIP19" s="344"/>
      <c r="KIQ19" s="344"/>
      <c r="KIR19" s="344"/>
      <c r="KIS19" s="344"/>
      <c r="KIT19" s="344"/>
      <c r="KIU19" s="344"/>
      <c r="KIV19" s="344"/>
      <c r="KIW19" s="344"/>
      <c r="KIX19" s="344"/>
      <c r="KIY19" s="344"/>
      <c r="KIZ19" s="344"/>
      <c r="KJA19" s="344"/>
      <c r="KJB19" s="344"/>
      <c r="KJC19" s="344"/>
      <c r="KJD19" s="344"/>
      <c r="KJE19" s="344"/>
      <c r="KJF19" s="344"/>
      <c r="KJG19" s="344"/>
      <c r="KJH19" s="344"/>
      <c r="KJI19" s="344"/>
      <c r="KJJ19" s="344"/>
      <c r="KJK19" s="344"/>
      <c r="KJL19" s="344"/>
      <c r="KJM19" s="344"/>
      <c r="KJN19" s="344"/>
      <c r="KJO19" s="344"/>
      <c r="KJP19" s="344"/>
      <c r="KJQ19" s="344"/>
      <c r="KJR19" s="344"/>
      <c r="KJS19" s="344"/>
      <c r="KJT19" s="344"/>
      <c r="KJU19" s="344"/>
      <c r="KJV19" s="344"/>
      <c r="KJW19" s="344"/>
      <c r="KJX19" s="344"/>
      <c r="KJY19" s="344"/>
      <c r="KJZ19" s="344"/>
      <c r="KKA19" s="344"/>
      <c r="KKB19" s="344"/>
      <c r="KKC19" s="344"/>
      <c r="KKD19" s="344"/>
      <c r="KKE19" s="344"/>
      <c r="KKF19" s="344"/>
      <c r="KKG19" s="344"/>
      <c r="KKH19" s="344"/>
      <c r="KKI19" s="344"/>
      <c r="KKJ19" s="344"/>
      <c r="KKK19" s="344"/>
      <c r="KKL19" s="344"/>
      <c r="KKM19" s="344"/>
      <c r="KKN19" s="344"/>
      <c r="KKO19" s="344"/>
      <c r="KKP19" s="344"/>
      <c r="KKQ19" s="344"/>
      <c r="KKR19" s="344"/>
      <c r="KKS19" s="344"/>
      <c r="KKT19" s="344"/>
      <c r="KKU19" s="344"/>
      <c r="KKV19" s="344"/>
      <c r="KKW19" s="344"/>
      <c r="KKX19" s="344"/>
      <c r="KKY19" s="344"/>
      <c r="KKZ19" s="344"/>
      <c r="KLA19" s="344"/>
      <c r="KLB19" s="344"/>
      <c r="KLC19" s="344"/>
      <c r="KLD19" s="344"/>
      <c r="KLE19" s="344"/>
      <c r="KLF19" s="344"/>
      <c r="KLG19" s="344"/>
      <c r="KLH19" s="344"/>
      <c r="KLI19" s="344"/>
      <c r="KLJ19" s="344"/>
      <c r="KLK19" s="344"/>
      <c r="KLL19" s="344"/>
      <c r="KLM19" s="344"/>
      <c r="KLN19" s="344"/>
      <c r="KLO19" s="344"/>
      <c r="KLP19" s="344"/>
      <c r="KLQ19" s="344"/>
      <c r="KLR19" s="344"/>
      <c r="KLS19" s="344"/>
      <c r="KLT19" s="344"/>
      <c r="KLU19" s="344"/>
      <c r="KLV19" s="344"/>
      <c r="KLW19" s="344"/>
      <c r="KLX19" s="344"/>
      <c r="KLY19" s="344"/>
      <c r="KLZ19" s="344"/>
      <c r="KMA19" s="344"/>
      <c r="KMB19" s="344"/>
      <c r="KMC19" s="344"/>
      <c r="KMD19" s="344"/>
      <c r="KME19" s="344"/>
      <c r="KMF19" s="344"/>
      <c r="KMG19" s="344"/>
      <c r="KMH19" s="344"/>
      <c r="KMI19" s="344"/>
      <c r="KMJ19" s="344"/>
      <c r="KMK19" s="344"/>
      <c r="KML19" s="344"/>
      <c r="KMM19" s="344"/>
      <c r="KMN19" s="344"/>
      <c r="KMO19" s="344"/>
      <c r="KMP19" s="344"/>
      <c r="KMQ19" s="344"/>
      <c r="KMR19" s="344"/>
      <c r="KMS19" s="344"/>
      <c r="KMT19" s="344"/>
      <c r="KMU19" s="344"/>
      <c r="KMV19" s="344"/>
      <c r="KMW19" s="344"/>
      <c r="KMX19" s="344"/>
      <c r="KMY19" s="344"/>
      <c r="KMZ19" s="344"/>
      <c r="KNA19" s="344"/>
      <c r="KNB19" s="344"/>
      <c r="KNC19" s="344"/>
      <c r="KND19" s="344"/>
      <c r="KNE19" s="344"/>
      <c r="KNF19" s="344"/>
      <c r="KNG19" s="344"/>
      <c r="KNH19" s="344"/>
      <c r="KNI19" s="344"/>
      <c r="KNJ19" s="344"/>
      <c r="KNK19" s="344"/>
      <c r="KNL19" s="344"/>
      <c r="KNM19" s="344"/>
      <c r="KNN19" s="344"/>
      <c r="KNO19" s="344"/>
      <c r="KNP19" s="344"/>
      <c r="KNQ19" s="344"/>
      <c r="KNR19" s="344"/>
      <c r="KNS19" s="344"/>
      <c r="KNT19" s="344"/>
      <c r="KNU19" s="344"/>
      <c r="KNV19" s="344"/>
      <c r="KNW19" s="344"/>
      <c r="KNX19" s="344"/>
      <c r="KNY19" s="344"/>
      <c r="KNZ19" s="344"/>
      <c r="KOA19" s="344"/>
      <c r="KOB19" s="344"/>
      <c r="KOC19" s="344"/>
      <c r="KOD19" s="344"/>
      <c r="KOE19" s="344"/>
      <c r="KOF19" s="344"/>
      <c r="KOG19" s="344"/>
      <c r="KOH19" s="344"/>
      <c r="KOI19" s="344"/>
      <c r="KOJ19" s="344"/>
      <c r="KOK19" s="344"/>
      <c r="KOL19" s="344"/>
      <c r="KOM19" s="344"/>
      <c r="KON19" s="344"/>
      <c r="KOO19" s="344"/>
      <c r="KOP19" s="344"/>
      <c r="KOQ19" s="344"/>
      <c r="KOR19" s="344"/>
      <c r="KOS19" s="344"/>
      <c r="KOT19" s="344"/>
      <c r="KOU19" s="344"/>
      <c r="KOV19" s="344"/>
      <c r="KOW19" s="344"/>
      <c r="KOX19" s="344"/>
      <c r="KOY19" s="344"/>
      <c r="KOZ19" s="344"/>
      <c r="KPA19" s="344"/>
      <c r="KPB19" s="344"/>
      <c r="KPC19" s="344"/>
      <c r="KPD19" s="344"/>
      <c r="KPE19" s="344"/>
      <c r="KPF19" s="344"/>
      <c r="KPG19" s="344"/>
      <c r="KPH19" s="344"/>
      <c r="KPI19" s="344"/>
      <c r="KPJ19" s="344"/>
      <c r="KPK19" s="344"/>
      <c r="KPL19" s="344"/>
      <c r="KPM19" s="344"/>
      <c r="KPN19" s="344"/>
      <c r="KPO19" s="344"/>
      <c r="KPP19" s="344"/>
      <c r="KPQ19" s="344"/>
      <c r="KPR19" s="344"/>
      <c r="KPS19" s="344"/>
      <c r="KPT19" s="344"/>
      <c r="KPU19" s="344"/>
      <c r="KPV19" s="344"/>
      <c r="KPW19" s="344"/>
      <c r="KPX19" s="344"/>
      <c r="KPY19" s="344"/>
      <c r="KPZ19" s="344"/>
      <c r="KQA19" s="344"/>
      <c r="KQB19" s="344"/>
      <c r="KQC19" s="344"/>
      <c r="KQD19" s="344"/>
      <c r="KQE19" s="344"/>
      <c r="KQF19" s="344"/>
      <c r="KQG19" s="344"/>
      <c r="KQH19" s="344"/>
      <c r="KQI19" s="344"/>
      <c r="KQJ19" s="344"/>
      <c r="KQK19" s="344"/>
      <c r="KQL19" s="344"/>
      <c r="KQM19" s="344"/>
      <c r="KQN19" s="344"/>
      <c r="KQO19" s="344"/>
      <c r="KQP19" s="344"/>
      <c r="KQQ19" s="344"/>
      <c r="KQR19" s="344"/>
      <c r="KQS19" s="344"/>
      <c r="KQT19" s="344"/>
      <c r="KQU19" s="344"/>
      <c r="KQV19" s="344"/>
      <c r="KQW19" s="344"/>
      <c r="KQX19" s="344"/>
      <c r="KQY19" s="344"/>
      <c r="KQZ19" s="344"/>
      <c r="KRA19" s="344"/>
      <c r="KRB19" s="344"/>
      <c r="KRC19" s="344"/>
      <c r="KRD19" s="344"/>
      <c r="KRE19" s="344"/>
      <c r="KRF19" s="344"/>
      <c r="KRG19" s="344"/>
      <c r="KRH19" s="344"/>
      <c r="KRI19" s="344"/>
      <c r="KRJ19" s="344"/>
      <c r="KRK19" s="344"/>
      <c r="KRL19" s="344"/>
      <c r="KRM19" s="344"/>
      <c r="KRN19" s="344"/>
      <c r="KRO19" s="344"/>
      <c r="KRP19" s="344"/>
      <c r="KRQ19" s="344"/>
      <c r="KRR19" s="344"/>
      <c r="KRS19" s="344"/>
      <c r="KRT19" s="344"/>
      <c r="KRU19" s="344"/>
      <c r="KRV19" s="344"/>
      <c r="KRW19" s="344"/>
      <c r="KRX19" s="344"/>
      <c r="KRY19" s="344"/>
      <c r="KRZ19" s="344"/>
      <c r="KSA19" s="344"/>
      <c r="KSB19" s="344"/>
      <c r="KSC19" s="344"/>
      <c r="KSD19" s="344"/>
      <c r="KSE19" s="344"/>
      <c r="KSF19" s="344"/>
      <c r="KSG19" s="344"/>
      <c r="KSH19" s="344"/>
      <c r="KSI19" s="344"/>
      <c r="KSJ19" s="344"/>
      <c r="KSK19" s="344"/>
      <c r="KSL19" s="344"/>
      <c r="KSM19" s="344"/>
      <c r="KSN19" s="344"/>
      <c r="KSO19" s="344"/>
      <c r="KSP19" s="344"/>
      <c r="KSQ19" s="344"/>
      <c r="KSR19" s="344"/>
      <c r="KSS19" s="344"/>
      <c r="KST19" s="344"/>
      <c r="KSU19" s="344"/>
      <c r="KSV19" s="344"/>
      <c r="KSW19" s="344"/>
      <c r="KSX19" s="344"/>
      <c r="KSY19" s="344"/>
      <c r="KSZ19" s="344"/>
      <c r="KTA19" s="344"/>
      <c r="KTB19" s="344"/>
      <c r="KTC19" s="344"/>
      <c r="KTD19" s="344"/>
      <c r="KTE19" s="344"/>
      <c r="KTF19" s="344"/>
      <c r="KTG19" s="344"/>
      <c r="KTH19" s="344"/>
      <c r="KTI19" s="344"/>
      <c r="KTJ19" s="344"/>
      <c r="KTK19" s="344"/>
      <c r="KTL19" s="344"/>
      <c r="KTM19" s="344"/>
      <c r="KTN19" s="344"/>
      <c r="KTO19" s="344"/>
      <c r="KTP19" s="344"/>
      <c r="KTQ19" s="344"/>
      <c r="KTR19" s="344"/>
      <c r="KTS19" s="344"/>
      <c r="KTT19" s="344"/>
      <c r="KTU19" s="344"/>
      <c r="KTV19" s="344"/>
      <c r="KTW19" s="344"/>
      <c r="KTX19" s="344"/>
      <c r="KTY19" s="344"/>
      <c r="KTZ19" s="344"/>
      <c r="KUA19" s="344"/>
      <c r="KUB19" s="344"/>
      <c r="KUC19" s="344"/>
      <c r="KUD19" s="344"/>
      <c r="KUE19" s="344"/>
      <c r="KUF19" s="344"/>
      <c r="KUG19" s="344"/>
      <c r="KUH19" s="344"/>
      <c r="KUI19" s="344"/>
      <c r="KUJ19" s="344"/>
      <c r="KUK19" s="344"/>
      <c r="KUL19" s="344"/>
      <c r="KUM19" s="344"/>
      <c r="KUN19" s="344"/>
      <c r="KUO19" s="344"/>
      <c r="KUP19" s="344"/>
      <c r="KUQ19" s="344"/>
      <c r="KUR19" s="344"/>
      <c r="KUS19" s="344"/>
      <c r="KUT19" s="344"/>
      <c r="KUU19" s="344"/>
      <c r="KUV19" s="344"/>
      <c r="KUW19" s="344"/>
      <c r="KUX19" s="344"/>
      <c r="KUY19" s="344"/>
      <c r="KUZ19" s="344"/>
      <c r="KVA19" s="344"/>
      <c r="KVB19" s="344"/>
      <c r="KVC19" s="344"/>
      <c r="KVD19" s="344"/>
      <c r="KVE19" s="344"/>
      <c r="KVF19" s="344"/>
      <c r="KVG19" s="344"/>
      <c r="KVH19" s="344"/>
      <c r="KVI19" s="344"/>
      <c r="KVJ19" s="344"/>
      <c r="KVK19" s="344"/>
      <c r="KVL19" s="344"/>
      <c r="KVM19" s="344"/>
      <c r="KVN19" s="344"/>
      <c r="KVO19" s="344"/>
      <c r="KVP19" s="344"/>
      <c r="KVQ19" s="344"/>
      <c r="KVR19" s="344"/>
      <c r="KVS19" s="344"/>
      <c r="KVT19" s="344"/>
      <c r="KVU19" s="344"/>
      <c r="KVV19" s="344"/>
      <c r="KVW19" s="344"/>
      <c r="KVX19" s="344"/>
      <c r="KVY19" s="344"/>
      <c r="KVZ19" s="344"/>
      <c r="KWA19" s="344"/>
      <c r="KWB19" s="344"/>
      <c r="KWC19" s="344"/>
      <c r="KWD19" s="344"/>
      <c r="KWE19" s="344"/>
      <c r="KWF19" s="344"/>
      <c r="KWG19" s="344"/>
      <c r="KWH19" s="344"/>
      <c r="KWI19" s="344"/>
      <c r="KWJ19" s="344"/>
      <c r="KWK19" s="344"/>
      <c r="KWL19" s="344"/>
      <c r="KWM19" s="344"/>
      <c r="KWN19" s="344"/>
      <c r="KWO19" s="344"/>
      <c r="KWP19" s="344"/>
      <c r="KWQ19" s="344"/>
      <c r="KWR19" s="344"/>
      <c r="KWS19" s="344"/>
      <c r="KWT19" s="344"/>
      <c r="KWU19" s="344"/>
      <c r="KWV19" s="344"/>
      <c r="KWW19" s="344"/>
      <c r="KWX19" s="344"/>
      <c r="KWY19" s="344"/>
      <c r="KWZ19" s="344"/>
      <c r="KXA19" s="344"/>
      <c r="KXB19" s="344"/>
      <c r="KXC19" s="344"/>
      <c r="KXD19" s="344"/>
      <c r="KXE19" s="344"/>
      <c r="KXF19" s="344"/>
      <c r="KXG19" s="344"/>
      <c r="KXH19" s="344"/>
      <c r="KXI19" s="344"/>
      <c r="KXJ19" s="344"/>
      <c r="KXK19" s="344"/>
      <c r="KXL19" s="344"/>
      <c r="KXM19" s="344"/>
      <c r="KXN19" s="344"/>
      <c r="KXO19" s="344"/>
      <c r="KXP19" s="344"/>
      <c r="KXQ19" s="344"/>
      <c r="KXR19" s="344"/>
      <c r="KXS19" s="344"/>
      <c r="KXT19" s="344"/>
      <c r="KXU19" s="344"/>
      <c r="KXV19" s="344"/>
      <c r="KXW19" s="344"/>
      <c r="KXX19" s="344"/>
      <c r="KXY19" s="344"/>
      <c r="KXZ19" s="344"/>
      <c r="KYA19" s="344"/>
      <c r="KYB19" s="344"/>
      <c r="KYC19" s="344"/>
      <c r="KYD19" s="344"/>
      <c r="KYE19" s="344"/>
      <c r="KYF19" s="344"/>
      <c r="KYG19" s="344"/>
      <c r="KYH19" s="344"/>
      <c r="KYI19" s="344"/>
      <c r="KYJ19" s="344"/>
      <c r="KYK19" s="344"/>
      <c r="KYL19" s="344"/>
      <c r="KYM19" s="344"/>
      <c r="KYN19" s="344"/>
      <c r="KYO19" s="344"/>
      <c r="KYP19" s="344"/>
      <c r="KYQ19" s="344"/>
      <c r="KYR19" s="344"/>
      <c r="KYS19" s="344"/>
      <c r="KYT19" s="344"/>
      <c r="KYU19" s="344"/>
      <c r="KYV19" s="344"/>
      <c r="KYW19" s="344"/>
      <c r="KYX19" s="344"/>
      <c r="KYY19" s="344"/>
      <c r="KYZ19" s="344"/>
      <c r="KZA19" s="344"/>
      <c r="KZB19" s="344"/>
      <c r="KZC19" s="344"/>
      <c r="KZD19" s="344"/>
      <c r="KZE19" s="344"/>
      <c r="KZF19" s="344"/>
      <c r="KZG19" s="344"/>
      <c r="KZH19" s="344"/>
      <c r="KZI19" s="344"/>
      <c r="KZJ19" s="344"/>
      <c r="KZK19" s="344"/>
      <c r="KZL19" s="344"/>
      <c r="KZM19" s="344"/>
      <c r="KZN19" s="344"/>
      <c r="KZO19" s="344"/>
      <c r="KZP19" s="344"/>
      <c r="KZQ19" s="344"/>
      <c r="KZR19" s="344"/>
      <c r="KZS19" s="344"/>
      <c r="KZT19" s="344"/>
      <c r="KZU19" s="344"/>
      <c r="KZV19" s="344"/>
      <c r="KZW19" s="344"/>
      <c r="KZX19" s="344"/>
      <c r="KZY19" s="344"/>
      <c r="KZZ19" s="344"/>
      <c r="LAA19" s="344"/>
      <c r="LAB19" s="344"/>
      <c r="LAC19" s="344"/>
      <c r="LAD19" s="344"/>
      <c r="LAE19" s="344"/>
      <c r="LAF19" s="344"/>
      <c r="LAG19" s="344"/>
      <c r="LAH19" s="344"/>
      <c r="LAI19" s="344"/>
      <c r="LAJ19" s="344"/>
      <c r="LAK19" s="344"/>
      <c r="LAL19" s="344"/>
      <c r="LAM19" s="344"/>
      <c r="LAN19" s="344"/>
      <c r="LAO19" s="344"/>
      <c r="LAP19" s="344"/>
      <c r="LAQ19" s="344"/>
      <c r="LAR19" s="344"/>
      <c r="LAS19" s="344"/>
      <c r="LAT19" s="344"/>
      <c r="LAU19" s="344"/>
      <c r="LAV19" s="344"/>
      <c r="LAW19" s="344"/>
      <c r="LAX19" s="344"/>
      <c r="LAY19" s="344"/>
      <c r="LAZ19" s="344"/>
      <c r="LBA19" s="344"/>
      <c r="LBB19" s="344"/>
      <c r="LBC19" s="344"/>
      <c r="LBD19" s="344"/>
      <c r="LBE19" s="344"/>
      <c r="LBF19" s="344"/>
      <c r="LBG19" s="344"/>
      <c r="LBH19" s="344"/>
      <c r="LBI19" s="344"/>
      <c r="LBJ19" s="344"/>
      <c r="LBK19" s="344"/>
      <c r="LBL19" s="344"/>
      <c r="LBM19" s="344"/>
      <c r="LBN19" s="344"/>
      <c r="LBO19" s="344"/>
      <c r="LBP19" s="344"/>
      <c r="LBQ19" s="344"/>
      <c r="LBR19" s="344"/>
      <c r="LBS19" s="344"/>
      <c r="LBT19" s="344"/>
      <c r="LBU19" s="344"/>
      <c r="LBV19" s="344"/>
      <c r="LBW19" s="344"/>
      <c r="LBX19" s="344"/>
      <c r="LBY19" s="344"/>
      <c r="LBZ19" s="344"/>
      <c r="LCA19" s="344"/>
      <c r="LCB19" s="344"/>
      <c r="LCC19" s="344"/>
      <c r="LCD19" s="344"/>
      <c r="LCE19" s="344"/>
      <c r="LCF19" s="344"/>
      <c r="LCG19" s="344"/>
      <c r="LCH19" s="344"/>
      <c r="LCI19" s="344"/>
      <c r="LCJ19" s="344"/>
      <c r="LCK19" s="344"/>
      <c r="LCL19" s="344"/>
      <c r="LCM19" s="344"/>
      <c r="LCN19" s="344"/>
      <c r="LCO19" s="344"/>
      <c r="LCP19" s="344"/>
      <c r="LCQ19" s="344"/>
      <c r="LCR19" s="344"/>
      <c r="LCS19" s="344"/>
      <c r="LCT19" s="344"/>
      <c r="LCU19" s="344"/>
      <c r="LCV19" s="344"/>
      <c r="LCW19" s="344"/>
      <c r="LCX19" s="344"/>
      <c r="LCY19" s="344"/>
      <c r="LCZ19" s="344"/>
      <c r="LDA19" s="344"/>
      <c r="LDB19" s="344"/>
      <c r="LDC19" s="344"/>
      <c r="LDD19" s="344"/>
      <c r="LDE19" s="344"/>
      <c r="LDF19" s="344"/>
      <c r="LDG19" s="344"/>
      <c r="LDH19" s="344"/>
      <c r="LDI19" s="344"/>
      <c r="LDJ19" s="344"/>
      <c r="LDK19" s="344"/>
      <c r="LDL19" s="344"/>
      <c r="LDM19" s="344"/>
      <c r="LDN19" s="344"/>
      <c r="LDO19" s="344"/>
      <c r="LDP19" s="344"/>
      <c r="LDQ19" s="344"/>
      <c r="LDR19" s="344"/>
      <c r="LDS19" s="344"/>
      <c r="LDT19" s="344"/>
      <c r="LDU19" s="344"/>
      <c r="LDV19" s="344"/>
      <c r="LDW19" s="344"/>
      <c r="LDX19" s="344"/>
      <c r="LDY19" s="344"/>
      <c r="LDZ19" s="344"/>
      <c r="LEA19" s="344"/>
      <c r="LEB19" s="344"/>
      <c r="LEC19" s="344"/>
      <c r="LED19" s="344"/>
      <c r="LEE19" s="344"/>
      <c r="LEF19" s="344"/>
      <c r="LEG19" s="344"/>
      <c r="LEH19" s="344"/>
      <c r="LEI19" s="344"/>
      <c r="LEJ19" s="344"/>
      <c r="LEK19" s="344"/>
      <c r="LEL19" s="344"/>
      <c r="LEM19" s="344"/>
      <c r="LEN19" s="344"/>
      <c r="LEO19" s="344"/>
      <c r="LEP19" s="344"/>
      <c r="LEQ19" s="344"/>
      <c r="LER19" s="344"/>
      <c r="LES19" s="344"/>
      <c r="LET19" s="344"/>
      <c r="LEU19" s="344"/>
      <c r="LEV19" s="344"/>
      <c r="LEW19" s="344"/>
      <c r="LEX19" s="344"/>
      <c r="LEY19" s="344"/>
      <c r="LEZ19" s="344"/>
      <c r="LFA19" s="344"/>
      <c r="LFB19" s="344"/>
      <c r="LFC19" s="344"/>
      <c r="LFD19" s="344"/>
      <c r="LFE19" s="344"/>
      <c r="LFF19" s="344"/>
      <c r="LFG19" s="344"/>
      <c r="LFH19" s="344"/>
      <c r="LFI19" s="344"/>
      <c r="LFJ19" s="344"/>
      <c r="LFK19" s="344"/>
      <c r="LFL19" s="344"/>
      <c r="LFM19" s="344"/>
      <c r="LFN19" s="344"/>
      <c r="LFO19" s="344"/>
      <c r="LFP19" s="344"/>
      <c r="LFQ19" s="344"/>
      <c r="LFR19" s="344"/>
      <c r="LFS19" s="344"/>
      <c r="LFT19" s="344"/>
      <c r="LFU19" s="344"/>
      <c r="LFV19" s="344"/>
      <c r="LFW19" s="344"/>
      <c r="LFX19" s="344"/>
      <c r="LFY19" s="344"/>
      <c r="LFZ19" s="344"/>
      <c r="LGA19" s="344"/>
      <c r="LGB19" s="344"/>
      <c r="LGC19" s="344"/>
      <c r="LGD19" s="344"/>
      <c r="LGE19" s="344"/>
      <c r="LGF19" s="344"/>
      <c r="LGG19" s="344"/>
      <c r="LGH19" s="344"/>
      <c r="LGI19" s="344"/>
      <c r="LGJ19" s="344"/>
      <c r="LGK19" s="344"/>
      <c r="LGL19" s="344"/>
      <c r="LGM19" s="344"/>
      <c r="LGN19" s="344"/>
      <c r="LGO19" s="344"/>
      <c r="LGP19" s="344"/>
      <c r="LGQ19" s="344"/>
      <c r="LGR19" s="344"/>
      <c r="LGS19" s="344"/>
      <c r="LGT19" s="344"/>
      <c r="LGU19" s="344"/>
      <c r="LGV19" s="344"/>
      <c r="LGW19" s="344"/>
      <c r="LGX19" s="344"/>
      <c r="LGY19" s="344"/>
      <c r="LGZ19" s="344"/>
      <c r="LHA19" s="344"/>
      <c r="LHB19" s="344"/>
      <c r="LHC19" s="344"/>
      <c r="LHD19" s="344"/>
      <c r="LHE19" s="344"/>
      <c r="LHF19" s="344"/>
      <c r="LHG19" s="344"/>
      <c r="LHH19" s="344"/>
      <c r="LHI19" s="344"/>
      <c r="LHJ19" s="344"/>
      <c r="LHK19" s="344"/>
      <c r="LHL19" s="344"/>
      <c r="LHM19" s="344"/>
      <c r="LHN19" s="344"/>
      <c r="LHO19" s="344"/>
      <c r="LHP19" s="344"/>
      <c r="LHQ19" s="344"/>
      <c r="LHR19" s="344"/>
      <c r="LHS19" s="344"/>
      <c r="LHT19" s="344"/>
      <c r="LHU19" s="344"/>
      <c r="LHV19" s="344"/>
      <c r="LHW19" s="344"/>
      <c r="LHX19" s="344"/>
      <c r="LHY19" s="344"/>
      <c r="LHZ19" s="344"/>
      <c r="LIA19" s="344"/>
      <c r="LIB19" s="344"/>
      <c r="LIC19" s="344"/>
      <c r="LID19" s="344"/>
      <c r="LIE19" s="344"/>
      <c r="LIF19" s="344"/>
      <c r="LIG19" s="344"/>
      <c r="LIH19" s="344"/>
      <c r="LII19" s="344"/>
      <c r="LIJ19" s="344"/>
      <c r="LIK19" s="344"/>
      <c r="LIL19" s="344"/>
      <c r="LIM19" s="344"/>
      <c r="LIN19" s="344"/>
      <c r="LIO19" s="344"/>
      <c r="LIP19" s="344"/>
      <c r="LIQ19" s="344"/>
      <c r="LIR19" s="344"/>
      <c r="LIS19" s="344"/>
      <c r="LIT19" s="344"/>
      <c r="LIU19" s="344"/>
      <c r="LIV19" s="344"/>
      <c r="LIW19" s="344"/>
      <c r="LIX19" s="344"/>
      <c r="LIY19" s="344"/>
      <c r="LIZ19" s="344"/>
      <c r="LJA19" s="344"/>
      <c r="LJB19" s="344"/>
      <c r="LJC19" s="344"/>
      <c r="LJD19" s="344"/>
      <c r="LJE19" s="344"/>
      <c r="LJF19" s="344"/>
      <c r="LJG19" s="344"/>
      <c r="LJH19" s="344"/>
      <c r="LJI19" s="344"/>
      <c r="LJJ19" s="344"/>
      <c r="LJK19" s="344"/>
      <c r="LJL19" s="344"/>
      <c r="LJM19" s="344"/>
      <c r="LJN19" s="344"/>
      <c r="LJO19" s="344"/>
      <c r="LJP19" s="344"/>
      <c r="LJQ19" s="344"/>
      <c r="LJR19" s="344"/>
      <c r="LJS19" s="344"/>
      <c r="LJT19" s="344"/>
      <c r="LJU19" s="344"/>
      <c r="LJV19" s="344"/>
      <c r="LJW19" s="344"/>
      <c r="LJX19" s="344"/>
      <c r="LJY19" s="344"/>
      <c r="LJZ19" s="344"/>
      <c r="LKA19" s="344"/>
      <c r="LKB19" s="344"/>
      <c r="LKC19" s="344"/>
      <c r="LKD19" s="344"/>
      <c r="LKE19" s="344"/>
      <c r="LKF19" s="344"/>
      <c r="LKG19" s="344"/>
      <c r="LKH19" s="344"/>
      <c r="LKI19" s="344"/>
      <c r="LKJ19" s="344"/>
      <c r="LKK19" s="344"/>
      <c r="LKL19" s="344"/>
      <c r="LKM19" s="344"/>
      <c r="LKN19" s="344"/>
      <c r="LKO19" s="344"/>
      <c r="LKP19" s="344"/>
      <c r="LKQ19" s="344"/>
      <c r="LKR19" s="344"/>
      <c r="LKS19" s="344"/>
      <c r="LKT19" s="344"/>
      <c r="LKU19" s="344"/>
      <c r="LKV19" s="344"/>
      <c r="LKW19" s="344"/>
      <c r="LKX19" s="344"/>
      <c r="LKY19" s="344"/>
      <c r="LKZ19" s="344"/>
      <c r="LLA19" s="344"/>
      <c r="LLB19" s="344"/>
      <c r="LLC19" s="344"/>
      <c r="LLD19" s="344"/>
      <c r="LLE19" s="344"/>
      <c r="LLF19" s="344"/>
      <c r="LLG19" s="344"/>
      <c r="LLH19" s="344"/>
      <c r="LLI19" s="344"/>
      <c r="LLJ19" s="344"/>
      <c r="LLK19" s="344"/>
      <c r="LLL19" s="344"/>
      <c r="LLM19" s="344"/>
      <c r="LLN19" s="344"/>
      <c r="LLO19" s="344"/>
      <c r="LLP19" s="344"/>
      <c r="LLQ19" s="344"/>
      <c r="LLR19" s="344"/>
      <c r="LLS19" s="344"/>
      <c r="LLT19" s="344"/>
      <c r="LLU19" s="344"/>
      <c r="LLV19" s="344"/>
      <c r="LLW19" s="344"/>
      <c r="LLX19" s="344"/>
      <c r="LLY19" s="344"/>
      <c r="LLZ19" s="344"/>
      <c r="LMA19" s="344"/>
      <c r="LMB19" s="344"/>
      <c r="LMC19" s="344"/>
      <c r="LMD19" s="344"/>
      <c r="LME19" s="344"/>
      <c r="LMF19" s="344"/>
      <c r="LMG19" s="344"/>
      <c r="LMH19" s="344"/>
      <c r="LMI19" s="344"/>
      <c r="LMJ19" s="344"/>
      <c r="LMK19" s="344"/>
      <c r="LML19" s="344"/>
      <c r="LMM19" s="344"/>
      <c r="LMN19" s="344"/>
      <c r="LMO19" s="344"/>
      <c r="LMP19" s="344"/>
      <c r="LMQ19" s="344"/>
      <c r="LMR19" s="344"/>
      <c r="LMS19" s="344"/>
      <c r="LMT19" s="344"/>
      <c r="LMU19" s="344"/>
      <c r="LMV19" s="344"/>
      <c r="LMW19" s="344"/>
      <c r="LMX19" s="344"/>
      <c r="LMY19" s="344"/>
      <c r="LMZ19" s="344"/>
      <c r="LNA19" s="344"/>
      <c r="LNB19" s="344"/>
      <c r="LNC19" s="344"/>
      <c r="LND19" s="344"/>
      <c r="LNE19" s="344"/>
      <c r="LNF19" s="344"/>
      <c r="LNG19" s="344"/>
      <c r="LNH19" s="344"/>
      <c r="LNI19" s="344"/>
      <c r="LNJ19" s="344"/>
      <c r="LNK19" s="344"/>
      <c r="LNL19" s="344"/>
      <c r="LNM19" s="344"/>
      <c r="LNN19" s="344"/>
      <c r="LNO19" s="344"/>
      <c r="LNP19" s="344"/>
      <c r="LNQ19" s="344"/>
      <c r="LNR19" s="344"/>
      <c r="LNS19" s="344"/>
      <c r="LNT19" s="344"/>
      <c r="LNU19" s="344"/>
      <c r="LNV19" s="344"/>
      <c r="LNW19" s="344"/>
      <c r="LNX19" s="344"/>
      <c r="LNY19" s="344"/>
      <c r="LNZ19" s="344"/>
      <c r="LOA19" s="344"/>
      <c r="LOB19" s="344"/>
      <c r="LOC19" s="344"/>
      <c r="LOD19" s="344"/>
      <c r="LOE19" s="344"/>
      <c r="LOF19" s="344"/>
      <c r="LOG19" s="344"/>
      <c r="LOH19" s="344"/>
      <c r="LOI19" s="344"/>
      <c r="LOJ19" s="344"/>
      <c r="LOK19" s="344"/>
      <c r="LOL19" s="344"/>
      <c r="LOM19" s="344"/>
      <c r="LON19" s="344"/>
      <c r="LOO19" s="344"/>
      <c r="LOP19" s="344"/>
      <c r="LOQ19" s="344"/>
      <c r="LOR19" s="344"/>
      <c r="LOS19" s="344"/>
      <c r="LOT19" s="344"/>
      <c r="LOU19" s="344"/>
      <c r="LOV19" s="344"/>
      <c r="LOW19" s="344"/>
      <c r="LOX19" s="344"/>
      <c r="LOY19" s="344"/>
      <c r="LOZ19" s="344"/>
      <c r="LPA19" s="344"/>
      <c r="LPB19" s="344"/>
      <c r="LPC19" s="344"/>
      <c r="LPD19" s="344"/>
      <c r="LPE19" s="344"/>
      <c r="LPF19" s="344"/>
      <c r="LPG19" s="344"/>
      <c r="LPH19" s="344"/>
      <c r="LPI19" s="344"/>
      <c r="LPJ19" s="344"/>
      <c r="LPK19" s="344"/>
      <c r="LPL19" s="344"/>
      <c r="LPM19" s="344"/>
      <c r="LPN19" s="344"/>
      <c r="LPO19" s="344"/>
      <c r="LPP19" s="344"/>
      <c r="LPQ19" s="344"/>
      <c r="LPR19" s="344"/>
      <c r="LPS19" s="344"/>
      <c r="LPT19" s="344"/>
      <c r="LPU19" s="344"/>
      <c r="LPV19" s="344"/>
      <c r="LPW19" s="344"/>
      <c r="LPX19" s="344"/>
      <c r="LPY19" s="344"/>
      <c r="LPZ19" s="344"/>
      <c r="LQA19" s="344"/>
      <c r="LQB19" s="344"/>
      <c r="LQC19" s="344"/>
      <c r="LQD19" s="344"/>
      <c r="LQE19" s="344"/>
      <c r="LQF19" s="344"/>
      <c r="LQG19" s="344"/>
      <c r="LQH19" s="344"/>
      <c r="LQI19" s="344"/>
      <c r="LQJ19" s="344"/>
      <c r="LQK19" s="344"/>
      <c r="LQL19" s="344"/>
      <c r="LQM19" s="344"/>
      <c r="LQN19" s="344"/>
      <c r="LQO19" s="344"/>
      <c r="LQP19" s="344"/>
      <c r="LQQ19" s="344"/>
      <c r="LQR19" s="344"/>
      <c r="LQS19" s="344"/>
      <c r="LQT19" s="344"/>
      <c r="LQU19" s="344"/>
      <c r="LQV19" s="344"/>
      <c r="LQW19" s="344"/>
      <c r="LQX19" s="344"/>
      <c r="LQY19" s="344"/>
      <c r="LQZ19" s="344"/>
      <c r="LRA19" s="344"/>
      <c r="LRB19" s="344"/>
      <c r="LRC19" s="344"/>
      <c r="LRD19" s="344"/>
      <c r="LRE19" s="344"/>
      <c r="LRF19" s="344"/>
      <c r="LRG19" s="344"/>
      <c r="LRH19" s="344"/>
      <c r="LRI19" s="344"/>
      <c r="LRJ19" s="344"/>
      <c r="LRK19" s="344"/>
      <c r="LRL19" s="344"/>
      <c r="LRM19" s="344"/>
      <c r="LRN19" s="344"/>
      <c r="LRO19" s="344"/>
      <c r="LRP19" s="344"/>
      <c r="LRQ19" s="344"/>
      <c r="LRR19" s="344"/>
      <c r="LRS19" s="344"/>
      <c r="LRT19" s="344"/>
      <c r="LRU19" s="344"/>
      <c r="LRV19" s="344"/>
      <c r="LRW19" s="344"/>
      <c r="LRX19" s="344"/>
      <c r="LRY19" s="344"/>
      <c r="LRZ19" s="344"/>
      <c r="LSA19" s="344"/>
      <c r="LSB19" s="344"/>
      <c r="LSC19" s="344"/>
      <c r="LSD19" s="344"/>
      <c r="LSE19" s="344"/>
      <c r="LSF19" s="344"/>
      <c r="LSG19" s="344"/>
      <c r="LSH19" s="344"/>
      <c r="LSI19" s="344"/>
      <c r="LSJ19" s="344"/>
      <c r="LSK19" s="344"/>
      <c r="LSL19" s="344"/>
      <c r="LSM19" s="344"/>
      <c r="LSN19" s="344"/>
      <c r="LSO19" s="344"/>
      <c r="LSP19" s="344"/>
      <c r="LSQ19" s="344"/>
      <c r="LSR19" s="344"/>
      <c r="LSS19" s="344"/>
      <c r="LST19" s="344"/>
      <c r="LSU19" s="344"/>
      <c r="LSV19" s="344"/>
      <c r="LSW19" s="344"/>
      <c r="LSX19" s="344"/>
      <c r="LSY19" s="344"/>
      <c r="LSZ19" s="344"/>
      <c r="LTA19" s="344"/>
      <c r="LTB19" s="344"/>
      <c r="LTC19" s="344"/>
      <c r="LTD19" s="344"/>
      <c r="LTE19" s="344"/>
      <c r="LTF19" s="344"/>
      <c r="LTG19" s="344"/>
      <c r="LTH19" s="344"/>
      <c r="LTI19" s="344"/>
      <c r="LTJ19" s="344"/>
      <c r="LTK19" s="344"/>
      <c r="LTL19" s="344"/>
      <c r="LTM19" s="344"/>
      <c r="LTN19" s="344"/>
      <c r="LTO19" s="344"/>
      <c r="LTP19" s="344"/>
      <c r="LTQ19" s="344"/>
      <c r="LTR19" s="344"/>
      <c r="LTS19" s="344"/>
      <c r="LTT19" s="344"/>
      <c r="LTU19" s="344"/>
      <c r="LTV19" s="344"/>
      <c r="LTW19" s="344"/>
      <c r="LTX19" s="344"/>
      <c r="LTY19" s="344"/>
      <c r="LTZ19" s="344"/>
      <c r="LUA19" s="344"/>
      <c r="LUB19" s="344"/>
      <c r="LUC19" s="344"/>
      <c r="LUD19" s="344"/>
      <c r="LUE19" s="344"/>
      <c r="LUF19" s="344"/>
      <c r="LUG19" s="344"/>
      <c r="LUH19" s="344"/>
      <c r="LUI19" s="344"/>
      <c r="LUJ19" s="344"/>
      <c r="LUK19" s="344"/>
      <c r="LUL19" s="344"/>
      <c r="LUM19" s="344"/>
      <c r="LUN19" s="344"/>
      <c r="LUO19" s="344"/>
      <c r="LUP19" s="344"/>
      <c r="LUQ19" s="344"/>
      <c r="LUR19" s="344"/>
      <c r="LUS19" s="344"/>
      <c r="LUT19" s="344"/>
      <c r="LUU19" s="344"/>
      <c r="LUV19" s="344"/>
      <c r="LUW19" s="344"/>
      <c r="LUX19" s="344"/>
      <c r="LUY19" s="344"/>
      <c r="LUZ19" s="344"/>
      <c r="LVA19" s="344"/>
      <c r="LVB19" s="344"/>
      <c r="LVC19" s="344"/>
      <c r="LVD19" s="344"/>
      <c r="LVE19" s="344"/>
      <c r="LVF19" s="344"/>
      <c r="LVG19" s="344"/>
      <c r="LVH19" s="344"/>
      <c r="LVI19" s="344"/>
      <c r="LVJ19" s="344"/>
      <c r="LVK19" s="344"/>
      <c r="LVL19" s="344"/>
      <c r="LVM19" s="344"/>
      <c r="LVN19" s="344"/>
      <c r="LVO19" s="344"/>
      <c r="LVP19" s="344"/>
      <c r="LVQ19" s="344"/>
      <c r="LVR19" s="344"/>
      <c r="LVS19" s="344"/>
      <c r="LVT19" s="344"/>
      <c r="LVU19" s="344"/>
      <c r="LVV19" s="344"/>
      <c r="LVW19" s="344"/>
      <c r="LVX19" s="344"/>
      <c r="LVY19" s="344"/>
      <c r="LVZ19" s="344"/>
      <c r="LWA19" s="344"/>
      <c r="LWB19" s="344"/>
      <c r="LWC19" s="344"/>
      <c r="LWD19" s="344"/>
      <c r="LWE19" s="344"/>
      <c r="LWF19" s="344"/>
      <c r="LWG19" s="344"/>
      <c r="LWH19" s="344"/>
      <c r="LWI19" s="344"/>
      <c r="LWJ19" s="344"/>
      <c r="LWK19" s="344"/>
      <c r="LWL19" s="344"/>
      <c r="LWM19" s="344"/>
      <c r="LWN19" s="344"/>
      <c r="LWO19" s="344"/>
      <c r="LWP19" s="344"/>
      <c r="LWQ19" s="344"/>
      <c r="LWR19" s="344"/>
      <c r="LWS19" s="344"/>
      <c r="LWT19" s="344"/>
      <c r="LWU19" s="344"/>
      <c r="LWV19" s="344"/>
      <c r="LWW19" s="344"/>
      <c r="LWX19" s="344"/>
      <c r="LWY19" s="344"/>
      <c r="LWZ19" s="344"/>
      <c r="LXA19" s="344"/>
      <c r="LXB19" s="344"/>
      <c r="LXC19" s="344"/>
      <c r="LXD19" s="344"/>
      <c r="LXE19" s="344"/>
      <c r="LXF19" s="344"/>
      <c r="LXG19" s="344"/>
      <c r="LXH19" s="344"/>
      <c r="LXI19" s="344"/>
      <c r="LXJ19" s="344"/>
      <c r="LXK19" s="344"/>
      <c r="LXL19" s="344"/>
      <c r="LXM19" s="344"/>
      <c r="LXN19" s="344"/>
      <c r="LXO19" s="344"/>
      <c r="LXP19" s="344"/>
      <c r="LXQ19" s="344"/>
      <c r="LXR19" s="344"/>
      <c r="LXS19" s="344"/>
      <c r="LXT19" s="344"/>
      <c r="LXU19" s="344"/>
      <c r="LXV19" s="344"/>
      <c r="LXW19" s="344"/>
      <c r="LXX19" s="344"/>
      <c r="LXY19" s="344"/>
      <c r="LXZ19" s="344"/>
      <c r="LYA19" s="344"/>
      <c r="LYB19" s="344"/>
      <c r="LYC19" s="344"/>
      <c r="LYD19" s="344"/>
      <c r="LYE19" s="344"/>
      <c r="LYF19" s="344"/>
      <c r="LYG19" s="344"/>
      <c r="LYH19" s="344"/>
      <c r="LYI19" s="344"/>
      <c r="LYJ19" s="344"/>
      <c r="LYK19" s="344"/>
      <c r="LYL19" s="344"/>
      <c r="LYM19" s="344"/>
      <c r="LYN19" s="344"/>
      <c r="LYO19" s="344"/>
      <c r="LYP19" s="344"/>
      <c r="LYQ19" s="344"/>
      <c r="LYR19" s="344"/>
      <c r="LYS19" s="344"/>
      <c r="LYT19" s="344"/>
      <c r="LYU19" s="344"/>
      <c r="LYV19" s="344"/>
      <c r="LYW19" s="344"/>
      <c r="LYX19" s="344"/>
      <c r="LYY19" s="344"/>
      <c r="LYZ19" s="344"/>
      <c r="LZA19" s="344"/>
      <c r="LZB19" s="344"/>
      <c r="LZC19" s="344"/>
      <c r="LZD19" s="344"/>
      <c r="LZE19" s="344"/>
      <c r="LZF19" s="344"/>
      <c r="LZG19" s="344"/>
      <c r="LZH19" s="344"/>
      <c r="LZI19" s="344"/>
      <c r="LZJ19" s="344"/>
      <c r="LZK19" s="344"/>
      <c r="LZL19" s="344"/>
      <c r="LZM19" s="344"/>
      <c r="LZN19" s="344"/>
      <c r="LZO19" s="344"/>
      <c r="LZP19" s="344"/>
      <c r="LZQ19" s="344"/>
      <c r="LZR19" s="344"/>
      <c r="LZS19" s="344"/>
      <c r="LZT19" s="344"/>
      <c r="LZU19" s="344"/>
      <c r="LZV19" s="344"/>
      <c r="LZW19" s="344"/>
      <c r="LZX19" s="344"/>
      <c r="LZY19" s="344"/>
      <c r="LZZ19" s="344"/>
      <c r="MAA19" s="344"/>
      <c r="MAB19" s="344"/>
      <c r="MAC19" s="344"/>
      <c r="MAD19" s="344"/>
      <c r="MAE19" s="344"/>
      <c r="MAF19" s="344"/>
      <c r="MAG19" s="344"/>
      <c r="MAH19" s="344"/>
      <c r="MAI19" s="344"/>
      <c r="MAJ19" s="344"/>
      <c r="MAK19" s="344"/>
      <c r="MAL19" s="344"/>
      <c r="MAM19" s="344"/>
      <c r="MAN19" s="344"/>
      <c r="MAO19" s="344"/>
      <c r="MAP19" s="344"/>
      <c r="MAQ19" s="344"/>
      <c r="MAR19" s="344"/>
      <c r="MAS19" s="344"/>
      <c r="MAT19" s="344"/>
      <c r="MAU19" s="344"/>
      <c r="MAV19" s="344"/>
      <c r="MAW19" s="344"/>
      <c r="MAX19" s="344"/>
      <c r="MAY19" s="344"/>
      <c r="MAZ19" s="344"/>
      <c r="MBA19" s="344"/>
      <c r="MBB19" s="344"/>
      <c r="MBC19" s="344"/>
      <c r="MBD19" s="344"/>
      <c r="MBE19" s="344"/>
      <c r="MBF19" s="344"/>
      <c r="MBG19" s="344"/>
      <c r="MBH19" s="344"/>
      <c r="MBI19" s="344"/>
      <c r="MBJ19" s="344"/>
      <c r="MBK19" s="344"/>
      <c r="MBL19" s="344"/>
      <c r="MBM19" s="344"/>
      <c r="MBN19" s="344"/>
      <c r="MBO19" s="344"/>
      <c r="MBP19" s="344"/>
      <c r="MBQ19" s="344"/>
      <c r="MBR19" s="344"/>
      <c r="MBS19" s="344"/>
      <c r="MBT19" s="344"/>
      <c r="MBU19" s="344"/>
      <c r="MBV19" s="344"/>
      <c r="MBW19" s="344"/>
      <c r="MBX19" s="344"/>
      <c r="MBY19" s="344"/>
      <c r="MBZ19" s="344"/>
      <c r="MCA19" s="344"/>
      <c r="MCB19" s="344"/>
      <c r="MCC19" s="344"/>
      <c r="MCD19" s="344"/>
      <c r="MCE19" s="344"/>
      <c r="MCF19" s="344"/>
      <c r="MCG19" s="344"/>
      <c r="MCH19" s="344"/>
      <c r="MCI19" s="344"/>
      <c r="MCJ19" s="344"/>
      <c r="MCK19" s="344"/>
      <c r="MCL19" s="344"/>
      <c r="MCM19" s="344"/>
      <c r="MCN19" s="344"/>
      <c r="MCO19" s="344"/>
      <c r="MCP19" s="344"/>
      <c r="MCQ19" s="344"/>
      <c r="MCR19" s="344"/>
      <c r="MCS19" s="344"/>
      <c r="MCT19" s="344"/>
      <c r="MCU19" s="344"/>
      <c r="MCV19" s="344"/>
      <c r="MCW19" s="344"/>
      <c r="MCX19" s="344"/>
      <c r="MCY19" s="344"/>
      <c r="MCZ19" s="344"/>
      <c r="MDA19" s="344"/>
      <c r="MDB19" s="344"/>
      <c r="MDC19" s="344"/>
      <c r="MDD19" s="344"/>
      <c r="MDE19" s="344"/>
      <c r="MDF19" s="344"/>
      <c r="MDG19" s="344"/>
      <c r="MDH19" s="344"/>
      <c r="MDI19" s="344"/>
      <c r="MDJ19" s="344"/>
      <c r="MDK19" s="344"/>
      <c r="MDL19" s="344"/>
      <c r="MDM19" s="344"/>
      <c r="MDN19" s="344"/>
      <c r="MDO19" s="344"/>
      <c r="MDP19" s="344"/>
      <c r="MDQ19" s="344"/>
      <c r="MDR19" s="344"/>
      <c r="MDS19" s="344"/>
      <c r="MDT19" s="344"/>
      <c r="MDU19" s="344"/>
      <c r="MDV19" s="344"/>
      <c r="MDW19" s="344"/>
      <c r="MDX19" s="344"/>
      <c r="MDY19" s="344"/>
      <c r="MDZ19" s="344"/>
      <c r="MEA19" s="344"/>
      <c r="MEB19" s="344"/>
      <c r="MEC19" s="344"/>
      <c r="MED19" s="344"/>
      <c r="MEE19" s="344"/>
      <c r="MEF19" s="344"/>
      <c r="MEG19" s="344"/>
      <c r="MEH19" s="344"/>
      <c r="MEI19" s="344"/>
      <c r="MEJ19" s="344"/>
      <c r="MEK19" s="344"/>
      <c r="MEL19" s="344"/>
      <c r="MEM19" s="344"/>
      <c r="MEN19" s="344"/>
      <c r="MEO19" s="344"/>
      <c r="MEP19" s="344"/>
      <c r="MEQ19" s="344"/>
      <c r="MER19" s="344"/>
      <c r="MES19" s="344"/>
      <c r="MET19" s="344"/>
      <c r="MEU19" s="344"/>
      <c r="MEV19" s="344"/>
      <c r="MEW19" s="344"/>
      <c r="MEX19" s="344"/>
      <c r="MEY19" s="344"/>
      <c r="MEZ19" s="344"/>
      <c r="MFA19" s="344"/>
      <c r="MFB19" s="344"/>
      <c r="MFC19" s="344"/>
      <c r="MFD19" s="344"/>
      <c r="MFE19" s="344"/>
      <c r="MFF19" s="344"/>
      <c r="MFG19" s="344"/>
      <c r="MFH19" s="344"/>
      <c r="MFI19" s="344"/>
      <c r="MFJ19" s="344"/>
      <c r="MFK19" s="344"/>
      <c r="MFL19" s="344"/>
      <c r="MFM19" s="344"/>
      <c r="MFN19" s="344"/>
      <c r="MFO19" s="344"/>
      <c r="MFP19" s="344"/>
      <c r="MFQ19" s="344"/>
      <c r="MFR19" s="344"/>
      <c r="MFS19" s="344"/>
      <c r="MFT19" s="344"/>
      <c r="MFU19" s="344"/>
      <c r="MFV19" s="344"/>
      <c r="MFW19" s="344"/>
      <c r="MFX19" s="344"/>
      <c r="MFY19" s="344"/>
      <c r="MFZ19" s="344"/>
      <c r="MGA19" s="344"/>
      <c r="MGB19" s="344"/>
      <c r="MGC19" s="344"/>
      <c r="MGD19" s="344"/>
      <c r="MGE19" s="344"/>
      <c r="MGF19" s="344"/>
      <c r="MGG19" s="344"/>
      <c r="MGH19" s="344"/>
      <c r="MGI19" s="344"/>
      <c r="MGJ19" s="344"/>
      <c r="MGK19" s="344"/>
      <c r="MGL19" s="344"/>
      <c r="MGM19" s="344"/>
      <c r="MGN19" s="344"/>
      <c r="MGO19" s="344"/>
      <c r="MGP19" s="344"/>
      <c r="MGQ19" s="344"/>
      <c r="MGR19" s="344"/>
      <c r="MGS19" s="344"/>
      <c r="MGT19" s="344"/>
      <c r="MGU19" s="344"/>
      <c r="MGV19" s="344"/>
      <c r="MGW19" s="344"/>
      <c r="MGX19" s="344"/>
      <c r="MGY19" s="344"/>
      <c r="MGZ19" s="344"/>
      <c r="MHA19" s="344"/>
      <c r="MHB19" s="344"/>
      <c r="MHC19" s="344"/>
      <c r="MHD19" s="344"/>
      <c r="MHE19" s="344"/>
      <c r="MHF19" s="344"/>
      <c r="MHG19" s="344"/>
      <c r="MHH19" s="344"/>
      <c r="MHI19" s="344"/>
      <c r="MHJ19" s="344"/>
      <c r="MHK19" s="344"/>
      <c r="MHL19" s="344"/>
      <c r="MHM19" s="344"/>
      <c r="MHN19" s="344"/>
      <c r="MHO19" s="344"/>
      <c r="MHP19" s="344"/>
      <c r="MHQ19" s="344"/>
      <c r="MHR19" s="344"/>
      <c r="MHS19" s="344"/>
      <c r="MHT19" s="344"/>
      <c r="MHU19" s="344"/>
      <c r="MHV19" s="344"/>
      <c r="MHW19" s="344"/>
      <c r="MHX19" s="344"/>
      <c r="MHY19" s="344"/>
      <c r="MHZ19" s="344"/>
      <c r="MIA19" s="344"/>
      <c r="MIB19" s="344"/>
      <c r="MIC19" s="344"/>
      <c r="MID19" s="344"/>
      <c r="MIE19" s="344"/>
      <c r="MIF19" s="344"/>
      <c r="MIG19" s="344"/>
      <c r="MIH19" s="344"/>
      <c r="MII19" s="344"/>
      <c r="MIJ19" s="344"/>
      <c r="MIK19" s="344"/>
      <c r="MIL19" s="344"/>
      <c r="MIM19" s="344"/>
      <c r="MIN19" s="344"/>
      <c r="MIO19" s="344"/>
      <c r="MIP19" s="344"/>
      <c r="MIQ19" s="344"/>
      <c r="MIR19" s="344"/>
      <c r="MIS19" s="344"/>
      <c r="MIT19" s="344"/>
      <c r="MIU19" s="344"/>
      <c r="MIV19" s="344"/>
      <c r="MIW19" s="344"/>
      <c r="MIX19" s="344"/>
      <c r="MIY19" s="344"/>
      <c r="MIZ19" s="344"/>
      <c r="MJA19" s="344"/>
      <c r="MJB19" s="344"/>
      <c r="MJC19" s="344"/>
      <c r="MJD19" s="344"/>
      <c r="MJE19" s="344"/>
      <c r="MJF19" s="344"/>
      <c r="MJG19" s="344"/>
      <c r="MJH19" s="344"/>
      <c r="MJI19" s="344"/>
      <c r="MJJ19" s="344"/>
      <c r="MJK19" s="344"/>
      <c r="MJL19" s="344"/>
      <c r="MJM19" s="344"/>
      <c r="MJN19" s="344"/>
      <c r="MJO19" s="344"/>
      <c r="MJP19" s="344"/>
      <c r="MJQ19" s="344"/>
      <c r="MJR19" s="344"/>
      <c r="MJS19" s="344"/>
      <c r="MJT19" s="344"/>
      <c r="MJU19" s="344"/>
      <c r="MJV19" s="344"/>
      <c r="MJW19" s="344"/>
      <c r="MJX19" s="344"/>
      <c r="MJY19" s="344"/>
      <c r="MJZ19" s="344"/>
      <c r="MKA19" s="344"/>
      <c r="MKB19" s="344"/>
      <c r="MKC19" s="344"/>
      <c r="MKD19" s="344"/>
      <c r="MKE19" s="344"/>
      <c r="MKF19" s="344"/>
      <c r="MKG19" s="344"/>
      <c r="MKH19" s="344"/>
      <c r="MKI19" s="344"/>
      <c r="MKJ19" s="344"/>
      <c r="MKK19" s="344"/>
      <c r="MKL19" s="344"/>
      <c r="MKM19" s="344"/>
      <c r="MKN19" s="344"/>
      <c r="MKO19" s="344"/>
      <c r="MKP19" s="344"/>
      <c r="MKQ19" s="344"/>
      <c r="MKR19" s="344"/>
      <c r="MKS19" s="344"/>
      <c r="MKT19" s="344"/>
      <c r="MKU19" s="344"/>
      <c r="MKV19" s="344"/>
      <c r="MKW19" s="344"/>
      <c r="MKX19" s="344"/>
      <c r="MKY19" s="344"/>
      <c r="MKZ19" s="344"/>
      <c r="MLA19" s="344"/>
      <c r="MLB19" s="344"/>
      <c r="MLC19" s="344"/>
      <c r="MLD19" s="344"/>
      <c r="MLE19" s="344"/>
      <c r="MLF19" s="344"/>
      <c r="MLG19" s="344"/>
      <c r="MLH19" s="344"/>
      <c r="MLI19" s="344"/>
      <c r="MLJ19" s="344"/>
      <c r="MLK19" s="344"/>
      <c r="MLL19" s="344"/>
      <c r="MLM19" s="344"/>
      <c r="MLN19" s="344"/>
      <c r="MLO19" s="344"/>
      <c r="MLP19" s="344"/>
      <c r="MLQ19" s="344"/>
      <c r="MLR19" s="344"/>
      <c r="MLS19" s="344"/>
      <c r="MLT19" s="344"/>
      <c r="MLU19" s="344"/>
      <c r="MLV19" s="344"/>
      <c r="MLW19" s="344"/>
      <c r="MLX19" s="344"/>
      <c r="MLY19" s="344"/>
      <c r="MLZ19" s="344"/>
      <c r="MMA19" s="344"/>
      <c r="MMB19" s="344"/>
      <c r="MMC19" s="344"/>
      <c r="MMD19" s="344"/>
      <c r="MME19" s="344"/>
      <c r="MMF19" s="344"/>
      <c r="MMG19" s="344"/>
      <c r="MMH19" s="344"/>
      <c r="MMI19" s="344"/>
      <c r="MMJ19" s="344"/>
      <c r="MMK19" s="344"/>
      <c r="MML19" s="344"/>
      <c r="MMM19" s="344"/>
      <c r="MMN19" s="344"/>
      <c r="MMO19" s="344"/>
      <c r="MMP19" s="344"/>
      <c r="MMQ19" s="344"/>
      <c r="MMR19" s="344"/>
      <c r="MMS19" s="344"/>
      <c r="MMT19" s="344"/>
      <c r="MMU19" s="344"/>
      <c r="MMV19" s="344"/>
      <c r="MMW19" s="344"/>
      <c r="MMX19" s="344"/>
      <c r="MMY19" s="344"/>
      <c r="MMZ19" s="344"/>
      <c r="MNA19" s="344"/>
      <c r="MNB19" s="344"/>
      <c r="MNC19" s="344"/>
      <c r="MND19" s="344"/>
      <c r="MNE19" s="344"/>
      <c r="MNF19" s="344"/>
      <c r="MNG19" s="344"/>
      <c r="MNH19" s="344"/>
      <c r="MNI19" s="344"/>
      <c r="MNJ19" s="344"/>
      <c r="MNK19" s="344"/>
      <c r="MNL19" s="344"/>
      <c r="MNM19" s="344"/>
      <c r="MNN19" s="344"/>
      <c r="MNO19" s="344"/>
      <c r="MNP19" s="344"/>
      <c r="MNQ19" s="344"/>
      <c r="MNR19" s="344"/>
      <c r="MNS19" s="344"/>
      <c r="MNT19" s="344"/>
      <c r="MNU19" s="344"/>
      <c r="MNV19" s="344"/>
      <c r="MNW19" s="344"/>
      <c r="MNX19" s="344"/>
      <c r="MNY19" s="344"/>
      <c r="MNZ19" s="344"/>
      <c r="MOA19" s="344"/>
      <c r="MOB19" s="344"/>
      <c r="MOC19" s="344"/>
      <c r="MOD19" s="344"/>
      <c r="MOE19" s="344"/>
      <c r="MOF19" s="344"/>
      <c r="MOG19" s="344"/>
      <c r="MOH19" s="344"/>
      <c r="MOI19" s="344"/>
      <c r="MOJ19" s="344"/>
      <c r="MOK19" s="344"/>
      <c r="MOL19" s="344"/>
      <c r="MOM19" s="344"/>
      <c r="MON19" s="344"/>
      <c r="MOO19" s="344"/>
      <c r="MOP19" s="344"/>
      <c r="MOQ19" s="344"/>
      <c r="MOR19" s="344"/>
      <c r="MOS19" s="344"/>
      <c r="MOT19" s="344"/>
      <c r="MOU19" s="344"/>
      <c r="MOV19" s="344"/>
      <c r="MOW19" s="344"/>
      <c r="MOX19" s="344"/>
      <c r="MOY19" s="344"/>
      <c r="MOZ19" s="344"/>
      <c r="MPA19" s="344"/>
      <c r="MPB19" s="344"/>
      <c r="MPC19" s="344"/>
      <c r="MPD19" s="344"/>
      <c r="MPE19" s="344"/>
      <c r="MPF19" s="344"/>
      <c r="MPG19" s="344"/>
      <c r="MPH19" s="344"/>
      <c r="MPI19" s="344"/>
      <c r="MPJ19" s="344"/>
      <c r="MPK19" s="344"/>
      <c r="MPL19" s="344"/>
      <c r="MPM19" s="344"/>
      <c r="MPN19" s="344"/>
      <c r="MPO19" s="344"/>
      <c r="MPP19" s="344"/>
      <c r="MPQ19" s="344"/>
      <c r="MPR19" s="344"/>
      <c r="MPS19" s="344"/>
      <c r="MPT19" s="344"/>
      <c r="MPU19" s="344"/>
      <c r="MPV19" s="344"/>
      <c r="MPW19" s="344"/>
      <c r="MPX19" s="344"/>
      <c r="MPY19" s="344"/>
      <c r="MPZ19" s="344"/>
      <c r="MQA19" s="344"/>
      <c r="MQB19" s="344"/>
      <c r="MQC19" s="344"/>
      <c r="MQD19" s="344"/>
      <c r="MQE19" s="344"/>
      <c r="MQF19" s="344"/>
      <c r="MQG19" s="344"/>
      <c r="MQH19" s="344"/>
      <c r="MQI19" s="344"/>
      <c r="MQJ19" s="344"/>
      <c r="MQK19" s="344"/>
      <c r="MQL19" s="344"/>
      <c r="MQM19" s="344"/>
      <c r="MQN19" s="344"/>
      <c r="MQO19" s="344"/>
      <c r="MQP19" s="344"/>
      <c r="MQQ19" s="344"/>
      <c r="MQR19" s="344"/>
      <c r="MQS19" s="344"/>
      <c r="MQT19" s="344"/>
      <c r="MQU19" s="344"/>
      <c r="MQV19" s="344"/>
      <c r="MQW19" s="344"/>
      <c r="MQX19" s="344"/>
      <c r="MQY19" s="344"/>
      <c r="MQZ19" s="344"/>
      <c r="MRA19" s="344"/>
      <c r="MRB19" s="344"/>
      <c r="MRC19" s="344"/>
      <c r="MRD19" s="344"/>
      <c r="MRE19" s="344"/>
      <c r="MRF19" s="344"/>
      <c r="MRG19" s="344"/>
      <c r="MRH19" s="344"/>
      <c r="MRI19" s="344"/>
      <c r="MRJ19" s="344"/>
      <c r="MRK19" s="344"/>
      <c r="MRL19" s="344"/>
      <c r="MRM19" s="344"/>
      <c r="MRN19" s="344"/>
      <c r="MRO19" s="344"/>
      <c r="MRP19" s="344"/>
      <c r="MRQ19" s="344"/>
      <c r="MRR19" s="344"/>
      <c r="MRS19" s="344"/>
      <c r="MRT19" s="344"/>
      <c r="MRU19" s="344"/>
      <c r="MRV19" s="344"/>
      <c r="MRW19" s="344"/>
      <c r="MRX19" s="344"/>
      <c r="MRY19" s="344"/>
      <c r="MRZ19" s="344"/>
      <c r="MSA19" s="344"/>
      <c r="MSB19" s="344"/>
      <c r="MSC19" s="344"/>
      <c r="MSD19" s="344"/>
      <c r="MSE19" s="344"/>
      <c r="MSF19" s="344"/>
      <c r="MSG19" s="344"/>
      <c r="MSH19" s="344"/>
      <c r="MSI19" s="344"/>
      <c r="MSJ19" s="344"/>
      <c r="MSK19" s="344"/>
      <c r="MSL19" s="344"/>
      <c r="MSM19" s="344"/>
      <c r="MSN19" s="344"/>
      <c r="MSO19" s="344"/>
      <c r="MSP19" s="344"/>
      <c r="MSQ19" s="344"/>
      <c r="MSR19" s="344"/>
      <c r="MSS19" s="344"/>
      <c r="MST19" s="344"/>
      <c r="MSU19" s="344"/>
      <c r="MSV19" s="344"/>
      <c r="MSW19" s="344"/>
      <c r="MSX19" s="344"/>
      <c r="MSY19" s="344"/>
      <c r="MSZ19" s="344"/>
      <c r="MTA19" s="344"/>
      <c r="MTB19" s="344"/>
      <c r="MTC19" s="344"/>
      <c r="MTD19" s="344"/>
      <c r="MTE19" s="344"/>
      <c r="MTF19" s="344"/>
      <c r="MTG19" s="344"/>
      <c r="MTH19" s="344"/>
      <c r="MTI19" s="344"/>
      <c r="MTJ19" s="344"/>
      <c r="MTK19" s="344"/>
      <c r="MTL19" s="344"/>
      <c r="MTM19" s="344"/>
      <c r="MTN19" s="344"/>
      <c r="MTO19" s="344"/>
      <c r="MTP19" s="344"/>
      <c r="MTQ19" s="344"/>
      <c r="MTR19" s="344"/>
      <c r="MTS19" s="344"/>
      <c r="MTT19" s="344"/>
      <c r="MTU19" s="344"/>
      <c r="MTV19" s="344"/>
      <c r="MTW19" s="344"/>
      <c r="MTX19" s="344"/>
      <c r="MTY19" s="344"/>
      <c r="MTZ19" s="344"/>
      <c r="MUA19" s="344"/>
      <c r="MUB19" s="344"/>
      <c r="MUC19" s="344"/>
      <c r="MUD19" s="344"/>
      <c r="MUE19" s="344"/>
      <c r="MUF19" s="344"/>
      <c r="MUG19" s="344"/>
      <c r="MUH19" s="344"/>
      <c r="MUI19" s="344"/>
      <c r="MUJ19" s="344"/>
      <c r="MUK19" s="344"/>
      <c r="MUL19" s="344"/>
      <c r="MUM19" s="344"/>
      <c r="MUN19" s="344"/>
      <c r="MUO19" s="344"/>
      <c r="MUP19" s="344"/>
      <c r="MUQ19" s="344"/>
      <c r="MUR19" s="344"/>
      <c r="MUS19" s="344"/>
      <c r="MUT19" s="344"/>
      <c r="MUU19" s="344"/>
      <c r="MUV19" s="344"/>
      <c r="MUW19" s="344"/>
      <c r="MUX19" s="344"/>
      <c r="MUY19" s="344"/>
      <c r="MUZ19" s="344"/>
      <c r="MVA19" s="344"/>
      <c r="MVB19" s="344"/>
      <c r="MVC19" s="344"/>
      <c r="MVD19" s="344"/>
      <c r="MVE19" s="344"/>
      <c r="MVF19" s="344"/>
      <c r="MVG19" s="344"/>
      <c r="MVH19" s="344"/>
      <c r="MVI19" s="344"/>
      <c r="MVJ19" s="344"/>
      <c r="MVK19" s="344"/>
      <c r="MVL19" s="344"/>
      <c r="MVM19" s="344"/>
      <c r="MVN19" s="344"/>
      <c r="MVO19" s="344"/>
      <c r="MVP19" s="344"/>
      <c r="MVQ19" s="344"/>
      <c r="MVR19" s="344"/>
      <c r="MVS19" s="344"/>
      <c r="MVT19" s="344"/>
      <c r="MVU19" s="344"/>
      <c r="MVV19" s="344"/>
      <c r="MVW19" s="344"/>
      <c r="MVX19" s="344"/>
      <c r="MVY19" s="344"/>
      <c r="MVZ19" s="344"/>
      <c r="MWA19" s="344"/>
      <c r="MWB19" s="344"/>
      <c r="MWC19" s="344"/>
      <c r="MWD19" s="344"/>
      <c r="MWE19" s="344"/>
      <c r="MWF19" s="344"/>
      <c r="MWG19" s="344"/>
      <c r="MWH19" s="344"/>
      <c r="MWI19" s="344"/>
      <c r="MWJ19" s="344"/>
      <c r="MWK19" s="344"/>
      <c r="MWL19" s="344"/>
      <c r="MWM19" s="344"/>
      <c r="MWN19" s="344"/>
      <c r="MWO19" s="344"/>
      <c r="MWP19" s="344"/>
      <c r="MWQ19" s="344"/>
      <c r="MWR19" s="344"/>
      <c r="MWS19" s="344"/>
      <c r="MWT19" s="344"/>
      <c r="MWU19" s="344"/>
      <c r="MWV19" s="344"/>
      <c r="MWW19" s="344"/>
      <c r="MWX19" s="344"/>
      <c r="MWY19" s="344"/>
      <c r="MWZ19" s="344"/>
      <c r="MXA19" s="344"/>
      <c r="MXB19" s="344"/>
      <c r="MXC19" s="344"/>
      <c r="MXD19" s="344"/>
      <c r="MXE19" s="344"/>
      <c r="MXF19" s="344"/>
      <c r="MXG19" s="344"/>
      <c r="MXH19" s="344"/>
      <c r="MXI19" s="344"/>
      <c r="MXJ19" s="344"/>
      <c r="MXK19" s="344"/>
      <c r="MXL19" s="344"/>
      <c r="MXM19" s="344"/>
      <c r="MXN19" s="344"/>
      <c r="MXO19" s="344"/>
      <c r="MXP19" s="344"/>
      <c r="MXQ19" s="344"/>
      <c r="MXR19" s="344"/>
      <c r="MXS19" s="344"/>
      <c r="MXT19" s="344"/>
      <c r="MXU19" s="344"/>
      <c r="MXV19" s="344"/>
      <c r="MXW19" s="344"/>
      <c r="MXX19" s="344"/>
      <c r="MXY19" s="344"/>
      <c r="MXZ19" s="344"/>
      <c r="MYA19" s="344"/>
      <c r="MYB19" s="344"/>
      <c r="MYC19" s="344"/>
      <c r="MYD19" s="344"/>
      <c r="MYE19" s="344"/>
      <c r="MYF19" s="344"/>
      <c r="MYG19" s="344"/>
      <c r="MYH19" s="344"/>
      <c r="MYI19" s="344"/>
      <c r="MYJ19" s="344"/>
      <c r="MYK19" s="344"/>
      <c r="MYL19" s="344"/>
      <c r="MYM19" s="344"/>
      <c r="MYN19" s="344"/>
      <c r="MYO19" s="344"/>
      <c r="MYP19" s="344"/>
      <c r="MYQ19" s="344"/>
      <c r="MYR19" s="344"/>
      <c r="MYS19" s="344"/>
      <c r="MYT19" s="344"/>
      <c r="MYU19" s="344"/>
      <c r="MYV19" s="344"/>
      <c r="MYW19" s="344"/>
      <c r="MYX19" s="344"/>
      <c r="MYY19" s="344"/>
      <c r="MYZ19" s="344"/>
      <c r="MZA19" s="344"/>
      <c r="MZB19" s="344"/>
      <c r="MZC19" s="344"/>
      <c r="MZD19" s="344"/>
      <c r="MZE19" s="344"/>
      <c r="MZF19" s="344"/>
      <c r="MZG19" s="344"/>
      <c r="MZH19" s="344"/>
      <c r="MZI19" s="344"/>
      <c r="MZJ19" s="344"/>
      <c r="MZK19" s="344"/>
      <c r="MZL19" s="344"/>
      <c r="MZM19" s="344"/>
      <c r="MZN19" s="344"/>
      <c r="MZO19" s="344"/>
      <c r="MZP19" s="344"/>
      <c r="MZQ19" s="344"/>
      <c r="MZR19" s="344"/>
      <c r="MZS19" s="344"/>
      <c r="MZT19" s="344"/>
      <c r="MZU19" s="344"/>
      <c r="MZV19" s="344"/>
      <c r="MZW19" s="344"/>
      <c r="MZX19" s="344"/>
      <c r="MZY19" s="344"/>
      <c r="MZZ19" s="344"/>
      <c r="NAA19" s="344"/>
      <c r="NAB19" s="344"/>
      <c r="NAC19" s="344"/>
      <c r="NAD19" s="344"/>
      <c r="NAE19" s="344"/>
      <c r="NAF19" s="344"/>
      <c r="NAG19" s="344"/>
      <c r="NAH19" s="344"/>
      <c r="NAI19" s="344"/>
      <c r="NAJ19" s="344"/>
      <c r="NAK19" s="344"/>
      <c r="NAL19" s="344"/>
      <c r="NAM19" s="344"/>
      <c r="NAN19" s="344"/>
      <c r="NAO19" s="344"/>
      <c r="NAP19" s="344"/>
      <c r="NAQ19" s="344"/>
      <c r="NAR19" s="344"/>
      <c r="NAS19" s="344"/>
      <c r="NAT19" s="344"/>
      <c r="NAU19" s="344"/>
      <c r="NAV19" s="344"/>
      <c r="NAW19" s="344"/>
      <c r="NAX19" s="344"/>
      <c r="NAY19" s="344"/>
      <c r="NAZ19" s="344"/>
      <c r="NBA19" s="344"/>
      <c r="NBB19" s="344"/>
      <c r="NBC19" s="344"/>
      <c r="NBD19" s="344"/>
      <c r="NBE19" s="344"/>
      <c r="NBF19" s="344"/>
      <c r="NBG19" s="344"/>
      <c r="NBH19" s="344"/>
      <c r="NBI19" s="344"/>
      <c r="NBJ19" s="344"/>
      <c r="NBK19" s="344"/>
      <c r="NBL19" s="344"/>
      <c r="NBM19" s="344"/>
      <c r="NBN19" s="344"/>
      <c r="NBO19" s="344"/>
      <c r="NBP19" s="344"/>
      <c r="NBQ19" s="344"/>
      <c r="NBR19" s="344"/>
      <c r="NBS19" s="344"/>
      <c r="NBT19" s="344"/>
      <c r="NBU19" s="344"/>
      <c r="NBV19" s="344"/>
      <c r="NBW19" s="344"/>
      <c r="NBX19" s="344"/>
      <c r="NBY19" s="344"/>
      <c r="NBZ19" s="344"/>
      <c r="NCA19" s="344"/>
      <c r="NCB19" s="344"/>
      <c r="NCC19" s="344"/>
      <c r="NCD19" s="344"/>
      <c r="NCE19" s="344"/>
      <c r="NCF19" s="344"/>
      <c r="NCG19" s="344"/>
      <c r="NCH19" s="344"/>
      <c r="NCI19" s="344"/>
      <c r="NCJ19" s="344"/>
      <c r="NCK19" s="344"/>
      <c r="NCL19" s="344"/>
      <c r="NCM19" s="344"/>
      <c r="NCN19" s="344"/>
      <c r="NCO19" s="344"/>
      <c r="NCP19" s="344"/>
      <c r="NCQ19" s="344"/>
      <c r="NCR19" s="344"/>
      <c r="NCS19" s="344"/>
      <c r="NCT19" s="344"/>
      <c r="NCU19" s="344"/>
      <c r="NCV19" s="344"/>
      <c r="NCW19" s="344"/>
      <c r="NCX19" s="344"/>
      <c r="NCY19" s="344"/>
      <c r="NCZ19" s="344"/>
      <c r="NDA19" s="344"/>
      <c r="NDB19" s="344"/>
      <c r="NDC19" s="344"/>
      <c r="NDD19" s="344"/>
      <c r="NDE19" s="344"/>
      <c r="NDF19" s="344"/>
      <c r="NDG19" s="344"/>
      <c r="NDH19" s="344"/>
      <c r="NDI19" s="344"/>
      <c r="NDJ19" s="344"/>
      <c r="NDK19" s="344"/>
      <c r="NDL19" s="344"/>
      <c r="NDM19" s="344"/>
      <c r="NDN19" s="344"/>
      <c r="NDO19" s="344"/>
      <c r="NDP19" s="344"/>
      <c r="NDQ19" s="344"/>
      <c r="NDR19" s="344"/>
      <c r="NDS19" s="344"/>
      <c r="NDT19" s="344"/>
      <c r="NDU19" s="344"/>
      <c r="NDV19" s="344"/>
      <c r="NDW19" s="344"/>
      <c r="NDX19" s="344"/>
      <c r="NDY19" s="344"/>
      <c r="NDZ19" s="344"/>
      <c r="NEA19" s="344"/>
      <c r="NEB19" s="344"/>
      <c r="NEC19" s="344"/>
      <c r="NED19" s="344"/>
      <c r="NEE19" s="344"/>
      <c r="NEF19" s="344"/>
      <c r="NEG19" s="344"/>
      <c r="NEH19" s="344"/>
      <c r="NEI19" s="344"/>
      <c r="NEJ19" s="344"/>
      <c r="NEK19" s="344"/>
      <c r="NEL19" s="344"/>
      <c r="NEM19" s="344"/>
      <c r="NEN19" s="344"/>
      <c r="NEO19" s="344"/>
      <c r="NEP19" s="344"/>
      <c r="NEQ19" s="344"/>
      <c r="NER19" s="344"/>
      <c r="NES19" s="344"/>
      <c r="NET19" s="344"/>
      <c r="NEU19" s="344"/>
      <c r="NEV19" s="344"/>
      <c r="NEW19" s="344"/>
      <c r="NEX19" s="344"/>
      <c r="NEY19" s="344"/>
      <c r="NEZ19" s="344"/>
      <c r="NFA19" s="344"/>
      <c r="NFB19" s="344"/>
      <c r="NFC19" s="344"/>
      <c r="NFD19" s="344"/>
      <c r="NFE19" s="344"/>
      <c r="NFF19" s="344"/>
      <c r="NFG19" s="344"/>
      <c r="NFH19" s="344"/>
      <c r="NFI19" s="344"/>
      <c r="NFJ19" s="344"/>
      <c r="NFK19" s="344"/>
      <c r="NFL19" s="344"/>
      <c r="NFM19" s="344"/>
      <c r="NFN19" s="344"/>
      <c r="NFO19" s="344"/>
      <c r="NFP19" s="344"/>
      <c r="NFQ19" s="344"/>
      <c r="NFR19" s="344"/>
      <c r="NFS19" s="344"/>
      <c r="NFT19" s="344"/>
      <c r="NFU19" s="344"/>
      <c r="NFV19" s="344"/>
      <c r="NFW19" s="344"/>
      <c r="NFX19" s="344"/>
      <c r="NFY19" s="344"/>
      <c r="NFZ19" s="344"/>
      <c r="NGA19" s="344"/>
      <c r="NGB19" s="344"/>
      <c r="NGC19" s="344"/>
      <c r="NGD19" s="344"/>
      <c r="NGE19" s="344"/>
      <c r="NGF19" s="344"/>
      <c r="NGG19" s="344"/>
      <c r="NGH19" s="344"/>
      <c r="NGI19" s="344"/>
      <c r="NGJ19" s="344"/>
      <c r="NGK19" s="344"/>
      <c r="NGL19" s="344"/>
      <c r="NGM19" s="344"/>
      <c r="NGN19" s="344"/>
      <c r="NGO19" s="344"/>
      <c r="NGP19" s="344"/>
      <c r="NGQ19" s="344"/>
      <c r="NGR19" s="344"/>
      <c r="NGS19" s="344"/>
      <c r="NGT19" s="344"/>
      <c r="NGU19" s="344"/>
      <c r="NGV19" s="344"/>
      <c r="NGW19" s="344"/>
      <c r="NGX19" s="344"/>
      <c r="NGY19" s="344"/>
      <c r="NGZ19" s="344"/>
      <c r="NHA19" s="344"/>
      <c r="NHB19" s="344"/>
      <c r="NHC19" s="344"/>
      <c r="NHD19" s="344"/>
      <c r="NHE19" s="344"/>
      <c r="NHF19" s="344"/>
      <c r="NHG19" s="344"/>
      <c r="NHH19" s="344"/>
      <c r="NHI19" s="344"/>
      <c r="NHJ19" s="344"/>
      <c r="NHK19" s="344"/>
      <c r="NHL19" s="344"/>
      <c r="NHM19" s="344"/>
      <c r="NHN19" s="344"/>
      <c r="NHO19" s="344"/>
      <c r="NHP19" s="344"/>
      <c r="NHQ19" s="344"/>
      <c r="NHR19" s="344"/>
      <c r="NHS19" s="344"/>
      <c r="NHT19" s="344"/>
      <c r="NHU19" s="344"/>
      <c r="NHV19" s="344"/>
      <c r="NHW19" s="344"/>
      <c r="NHX19" s="344"/>
      <c r="NHY19" s="344"/>
      <c r="NHZ19" s="344"/>
      <c r="NIA19" s="344"/>
      <c r="NIB19" s="344"/>
      <c r="NIC19" s="344"/>
      <c r="NID19" s="344"/>
      <c r="NIE19" s="344"/>
      <c r="NIF19" s="344"/>
      <c r="NIG19" s="344"/>
      <c r="NIH19" s="344"/>
      <c r="NII19" s="344"/>
      <c r="NIJ19" s="344"/>
      <c r="NIK19" s="344"/>
      <c r="NIL19" s="344"/>
      <c r="NIM19" s="344"/>
      <c r="NIN19" s="344"/>
      <c r="NIO19" s="344"/>
      <c r="NIP19" s="344"/>
      <c r="NIQ19" s="344"/>
      <c r="NIR19" s="344"/>
      <c r="NIS19" s="344"/>
      <c r="NIT19" s="344"/>
      <c r="NIU19" s="344"/>
      <c r="NIV19" s="344"/>
      <c r="NIW19" s="344"/>
      <c r="NIX19" s="344"/>
      <c r="NIY19" s="344"/>
      <c r="NIZ19" s="344"/>
      <c r="NJA19" s="344"/>
      <c r="NJB19" s="344"/>
      <c r="NJC19" s="344"/>
      <c r="NJD19" s="344"/>
      <c r="NJE19" s="344"/>
      <c r="NJF19" s="344"/>
      <c r="NJG19" s="344"/>
      <c r="NJH19" s="344"/>
      <c r="NJI19" s="344"/>
      <c r="NJJ19" s="344"/>
      <c r="NJK19" s="344"/>
      <c r="NJL19" s="344"/>
      <c r="NJM19" s="344"/>
      <c r="NJN19" s="344"/>
      <c r="NJO19" s="344"/>
      <c r="NJP19" s="344"/>
      <c r="NJQ19" s="344"/>
      <c r="NJR19" s="344"/>
      <c r="NJS19" s="344"/>
      <c r="NJT19" s="344"/>
      <c r="NJU19" s="344"/>
      <c r="NJV19" s="344"/>
      <c r="NJW19" s="344"/>
      <c r="NJX19" s="344"/>
      <c r="NJY19" s="344"/>
      <c r="NJZ19" s="344"/>
      <c r="NKA19" s="344"/>
      <c r="NKB19" s="344"/>
      <c r="NKC19" s="344"/>
      <c r="NKD19" s="344"/>
      <c r="NKE19" s="344"/>
      <c r="NKF19" s="344"/>
      <c r="NKG19" s="344"/>
      <c r="NKH19" s="344"/>
      <c r="NKI19" s="344"/>
      <c r="NKJ19" s="344"/>
      <c r="NKK19" s="344"/>
      <c r="NKL19" s="344"/>
      <c r="NKM19" s="344"/>
      <c r="NKN19" s="344"/>
      <c r="NKO19" s="344"/>
      <c r="NKP19" s="344"/>
      <c r="NKQ19" s="344"/>
      <c r="NKR19" s="344"/>
      <c r="NKS19" s="344"/>
      <c r="NKT19" s="344"/>
      <c r="NKU19" s="344"/>
      <c r="NKV19" s="344"/>
      <c r="NKW19" s="344"/>
      <c r="NKX19" s="344"/>
      <c r="NKY19" s="344"/>
      <c r="NKZ19" s="344"/>
      <c r="NLA19" s="344"/>
      <c r="NLB19" s="344"/>
      <c r="NLC19" s="344"/>
      <c r="NLD19" s="344"/>
      <c r="NLE19" s="344"/>
      <c r="NLF19" s="344"/>
      <c r="NLG19" s="344"/>
      <c r="NLH19" s="344"/>
      <c r="NLI19" s="344"/>
      <c r="NLJ19" s="344"/>
      <c r="NLK19" s="344"/>
      <c r="NLL19" s="344"/>
      <c r="NLM19" s="344"/>
      <c r="NLN19" s="344"/>
      <c r="NLO19" s="344"/>
      <c r="NLP19" s="344"/>
      <c r="NLQ19" s="344"/>
      <c r="NLR19" s="344"/>
      <c r="NLS19" s="344"/>
      <c r="NLT19" s="344"/>
      <c r="NLU19" s="344"/>
      <c r="NLV19" s="344"/>
      <c r="NLW19" s="344"/>
      <c r="NLX19" s="344"/>
      <c r="NLY19" s="344"/>
      <c r="NLZ19" s="344"/>
      <c r="NMA19" s="344"/>
      <c r="NMB19" s="344"/>
      <c r="NMC19" s="344"/>
      <c r="NMD19" s="344"/>
      <c r="NME19" s="344"/>
      <c r="NMF19" s="344"/>
      <c r="NMG19" s="344"/>
      <c r="NMH19" s="344"/>
      <c r="NMI19" s="344"/>
      <c r="NMJ19" s="344"/>
      <c r="NMK19" s="344"/>
      <c r="NML19" s="344"/>
      <c r="NMM19" s="344"/>
      <c r="NMN19" s="344"/>
      <c r="NMO19" s="344"/>
      <c r="NMP19" s="344"/>
      <c r="NMQ19" s="344"/>
      <c r="NMR19" s="344"/>
      <c r="NMS19" s="344"/>
      <c r="NMT19" s="344"/>
      <c r="NMU19" s="344"/>
      <c r="NMV19" s="344"/>
      <c r="NMW19" s="344"/>
      <c r="NMX19" s="344"/>
      <c r="NMY19" s="344"/>
      <c r="NMZ19" s="344"/>
      <c r="NNA19" s="344"/>
      <c r="NNB19" s="344"/>
      <c r="NNC19" s="344"/>
      <c r="NND19" s="344"/>
      <c r="NNE19" s="344"/>
      <c r="NNF19" s="344"/>
      <c r="NNG19" s="344"/>
      <c r="NNH19" s="344"/>
      <c r="NNI19" s="344"/>
      <c r="NNJ19" s="344"/>
      <c r="NNK19" s="344"/>
      <c r="NNL19" s="344"/>
      <c r="NNM19" s="344"/>
      <c r="NNN19" s="344"/>
      <c r="NNO19" s="344"/>
      <c r="NNP19" s="344"/>
      <c r="NNQ19" s="344"/>
      <c r="NNR19" s="344"/>
      <c r="NNS19" s="344"/>
      <c r="NNT19" s="344"/>
      <c r="NNU19" s="344"/>
      <c r="NNV19" s="344"/>
      <c r="NNW19" s="344"/>
      <c r="NNX19" s="344"/>
      <c r="NNY19" s="344"/>
      <c r="NNZ19" s="344"/>
      <c r="NOA19" s="344"/>
      <c r="NOB19" s="344"/>
      <c r="NOC19" s="344"/>
      <c r="NOD19" s="344"/>
      <c r="NOE19" s="344"/>
      <c r="NOF19" s="344"/>
      <c r="NOG19" s="344"/>
      <c r="NOH19" s="344"/>
      <c r="NOI19" s="344"/>
      <c r="NOJ19" s="344"/>
      <c r="NOK19" s="344"/>
      <c r="NOL19" s="344"/>
      <c r="NOM19" s="344"/>
      <c r="NON19" s="344"/>
      <c r="NOO19" s="344"/>
      <c r="NOP19" s="344"/>
      <c r="NOQ19" s="344"/>
      <c r="NOR19" s="344"/>
      <c r="NOS19" s="344"/>
      <c r="NOT19" s="344"/>
      <c r="NOU19" s="344"/>
      <c r="NOV19" s="344"/>
      <c r="NOW19" s="344"/>
      <c r="NOX19" s="344"/>
      <c r="NOY19" s="344"/>
      <c r="NOZ19" s="344"/>
      <c r="NPA19" s="344"/>
      <c r="NPB19" s="344"/>
      <c r="NPC19" s="344"/>
      <c r="NPD19" s="344"/>
      <c r="NPE19" s="344"/>
      <c r="NPF19" s="344"/>
      <c r="NPG19" s="344"/>
      <c r="NPH19" s="344"/>
      <c r="NPI19" s="344"/>
      <c r="NPJ19" s="344"/>
      <c r="NPK19" s="344"/>
      <c r="NPL19" s="344"/>
      <c r="NPM19" s="344"/>
      <c r="NPN19" s="344"/>
      <c r="NPO19" s="344"/>
      <c r="NPP19" s="344"/>
      <c r="NPQ19" s="344"/>
      <c r="NPR19" s="344"/>
      <c r="NPS19" s="344"/>
      <c r="NPT19" s="344"/>
      <c r="NPU19" s="344"/>
      <c r="NPV19" s="344"/>
      <c r="NPW19" s="344"/>
      <c r="NPX19" s="344"/>
      <c r="NPY19" s="344"/>
      <c r="NPZ19" s="344"/>
      <c r="NQA19" s="344"/>
      <c r="NQB19" s="344"/>
      <c r="NQC19" s="344"/>
      <c r="NQD19" s="344"/>
      <c r="NQE19" s="344"/>
      <c r="NQF19" s="344"/>
      <c r="NQG19" s="344"/>
      <c r="NQH19" s="344"/>
      <c r="NQI19" s="344"/>
      <c r="NQJ19" s="344"/>
      <c r="NQK19" s="344"/>
      <c r="NQL19" s="344"/>
      <c r="NQM19" s="344"/>
      <c r="NQN19" s="344"/>
      <c r="NQO19" s="344"/>
      <c r="NQP19" s="344"/>
      <c r="NQQ19" s="344"/>
      <c r="NQR19" s="344"/>
      <c r="NQS19" s="344"/>
      <c r="NQT19" s="344"/>
      <c r="NQU19" s="344"/>
      <c r="NQV19" s="344"/>
      <c r="NQW19" s="344"/>
      <c r="NQX19" s="344"/>
      <c r="NQY19" s="344"/>
      <c r="NQZ19" s="344"/>
      <c r="NRA19" s="344"/>
      <c r="NRB19" s="344"/>
      <c r="NRC19" s="344"/>
      <c r="NRD19" s="344"/>
      <c r="NRE19" s="344"/>
      <c r="NRF19" s="344"/>
      <c r="NRG19" s="344"/>
      <c r="NRH19" s="344"/>
      <c r="NRI19" s="344"/>
      <c r="NRJ19" s="344"/>
      <c r="NRK19" s="344"/>
      <c r="NRL19" s="344"/>
      <c r="NRM19" s="344"/>
      <c r="NRN19" s="344"/>
      <c r="NRO19" s="344"/>
      <c r="NRP19" s="344"/>
      <c r="NRQ19" s="344"/>
      <c r="NRR19" s="344"/>
      <c r="NRS19" s="344"/>
      <c r="NRT19" s="344"/>
      <c r="NRU19" s="344"/>
      <c r="NRV19" s="344"/>
      <c r="NRW19" s="344"/>
      <c r="NRX19" s="344"/>
      <c r="NRY19" s="344"/>
      <c r="NRZ19" s="344"/>
      <c r="NSA19" s="344"/>
      <c r="NSB19" s="344"/>
      <c r="NSC19" s="344"/>
      <c r="NSD19" s="344"/>
      <c r="NSE19" s="344"/>
      <c r="NSF19" s="344"/>
      <c r="NSG19" s="344"/>
      <c r="NSH19" s="344"/>
      <c r="NSI19" s="344"/>
      <c r="NSJ19" s="344"/>
      <c r="NSK19" s="344"/>
      <c r="NSL19" s="344"/>
      <c r="NSM19" s="344"/>
      <c r="NSN19" s="344"/>
      <c r="NSO19" s="344"/>
      <c r="NSP19" s="344"/>
      <c r="NSQ19" s="344"/>
      <c r="NSR19" s="344"/>
      <c r="NSS19" s="344"/>
      <c r="NST19" s="344"/>
      <c r="NSU19" s="344"/>
      <c r="NSV19" s="344"/>
      <c r="NSW19" s="344"/>
      <c r="NSX19" s="344"/>
      <c r="NSY19" s="344"/>
      <c r="NSZ19" s="344"/>
      <c r="NTA19" s="344"/>
      <c r="NTB19" s="344"/>
      <c r="NTC19" s="344"/>
      <c r="NTD19" s="344"/>
      <c r="NTE19" s="344"/>
      <c r="NTF19" s="344"/>
      <c r="NTG19" s="344"/>
      <c r="NTH19" s="344"/>
      <c r="NTI19" s="344"/>
      <c r="NTJ19" s="344"/>
      <c r="NTK19" s="344"/>
      <c r="NTL19" s="344"/>
      <c r="NTM19" s="344"/>
      <c r="NTN19" s="344"/>
      <c r="NTO19" s="344"/>
      <c r="NTP19" s="344"/>
      <c r="NTQ19" s="344"/>
      <c r="NTR19" s="344"/>
      <c r="NTS19" s="344"/>
      <c r="NTT19" s="344"/>
      <c r="NTU19" s="344"/>
      <c r="NTV19" s="344"/>
      <c r="NTW19" s="344"/>
      <c r="NTX19" s="344"/>
      <c r="NTY19" s="344"/>
      <c r="NTZ19" s="344"/>
      <c r="NUA19" s="344"/>
      <c r="NUB19" s="344"/>
      <c r="NUC19" s="344"/>
      <c r="NUD19" s="344"/>
      <c r="NUE19" s="344"/>
      <c r="NUF19" s="344"/>
      <c r="NUG19" s="344"/>
      <c r="NUH19" s="344"/>
      <c r="NUI19" s="344"/>
      <c r="NUJ19" s="344"/>
      <c r="NUK19" s="344"/>
      <c r="NUL19" s="344"/>
      <c r="NUM19" s="344"/>
      <c r="NUN19" s="344"/>
      <c r="NUO19" s="344"/>
      <c r="NUP19" s="344"/>
      <c r="NUQ19" s="344"/>
      <c r="NUR19" s="344"/>
      <c r="NUS19" s="344"/>
      <c r="NUT19" s="344"/>
      <c r="NUU19" s="344"/>
      <c r="NUV19" s="344"/>
      <c r="NUW19" s="344"/>
      <c r="NUX19" s="344"/>
      <c r="NUY19" s="344"/>
      <c r="NUZ19" s="344"/>
      <c r="NVA19" s="344"/>
      <c r="NVB19" s="344"/>
      <c r="NVC19" s="344"/>
      <c r="NVD19" s="344"/>
      <c r="NVE19" s="344"/>
      <c r="NVF19" s="344"/>
      <c r="NVG19" s="344"/>
      <c r="NVH19" s="344"/>
      <c r="NVI19" s="344"/>
      <c r="NVJ19" s="344"/>
      <c r="NVK19" s="344"/>
      <c r="NVL19" s="344"/>
      <c r="NVM19" s="344"/>
      <c r="NVN19" s="344"/>
      <c r="NVO19" s="344"/>
      <c r="NVP19" s="344"/>
      <c r="NVQ19" s="344"/>
      <c r="NVR19" s="344"/>
      <c r="NVS19" s="344"/>
      <c r="NVT19" s="344"/>
      <c r="NVU19" s="344"/>
      <c r="NVV19" s="344"/>
      <c r="NVW19" s="344"/>
      <c r="NVX19" s="344"/>
      <c r="NVY19" s="344"/>
      <c r="NVZ19" s="344"/>
      <c r="NWA19" s="344"/>
      <c r="NWB19" s="344"/>
      <c r="NWC19" s="344"/>
      <c r="NWD19" s="344"/>
      <c r="NWE19" s="344"/>
      <c r="NWF19" s="344"/>
      <c r="NWG19" s="344"/>
      <c r="NWH19" s="344"/>
      <c r="NWI19" s="344"/>
      <c r="NWJ19" s="344"/>
      <c r="NWK19" s="344"/>
      <c r="NWL19" s="344"/>
      <c r="NWM19" s="344"/>
      <c r="NWN19" s="344"/>
      <c r="NWO19" s="344"/>
      <c r="NWP19" s="344"/>
      <c r="NWQ19" s="344"/>
      <c r="NWR19" s="344"/>
      <c r="NWS19" s="344"/>
      <c r="NWT19" s="344"/>
      <c r="NWU19" s="344"/>
      <c r="NWV19" s="344"/>
      <c r="NWW19" s="344"/>
      <c r="NWX19" s="344"/>
      <c r="NWY19" s="344"/>
      <c r="NWZ19" s="344"/>
      <c r="NXA19" s="344"/>
      <c r="NXB19" s="344"/>
      <c r="NXC19" s="344"/>
      <c r="NXD19" s="344"/>
      <c r="NXE19" s="344"/>
      <c r="NXF19" s="344"/>
      <c r="NXG19" s="344"/>
      <c r="NXH19" s="344"/>
      <c r="NXI19" s="344"/>
      <c r="NXJ19" s="344"/>
      <c r="NXK19" s="344"/>
      <c r="NXL19" s="344"/>
      <c r="NXM19" s="344"/>
      <c r="NXN19" s="344"/>
      <c r="NXO19" s="344"/>
      <c r="NXP19" s="344"/>
      <c r="NXQ19" s="344"/>
      <c r="NXR19" s="344"/>
      <c r="NXS19" s="344"/>
      <c r="NXT19" s="344"/>
      <c r="NXU19" s="344"/>
      <c r="NXV19" s="344"/>
      <c r="NXW19" s="344"/>
      <c r="NXX19" s="344"/>
      <c r="NXY19" s="344"/>
      <c r="NXZ19" s="344"/>
      <c r="NYA19" s="344"/>
      <c r="NYB19" s="344"/>
      <c r="NYC19" s="344"/>
      <c r="NYD19" s="344"/>
      <c r="NYE19" s="344"/>
      <c r="NYF19" s="344"/>
      <c r="NYG19" s="344"/>
      <c r="NYH19" s="344"/>
      <c r="NYI19" s="344"/>
      <c r="NYJ19" s="344"/>
      <c r="NYK19" s="344"/>
      <c r="NYL19" s="344"/>
      <c r="NYM19" s="344"/>
      <c r="NYN19" s="344"/>
      <c r="NYO19" s="344"/>
      <c r="NYP19" s="344"/>
      <c r="NYQ19" s="344"/>
      <c r="NYR19" s="344"/>
      <c r="NYS19" s="344"/>
      <c r="NYT19" s="344"/>
      <c r="NYU19" s="344"/>
      <c r="NYV19" s="344"/>
      <c r="NYW19" s="344"/>
      <c r="NYX19" s="344"/>
      <c r="NYY19" s="344"/>
      <c r="NYZ19" s="344"/>
      <c r="NZA19" s="344"/>
      <c r="NZB19" s="344"/>
      <c r="NZC19" s="344"/>
      <c r="NZD19" s="344"/>
      <c r="NZE19" s="344"/>
      <c r="NZF19" s="344"/>
      <c r="NZG19" s="344"/>
      <c r="NZH19" s="344"/>
      <c r="NZI19" s="344"/>
      <c r="NZJ19" s="344"/>
      <c r="NZK19" s="344"/>
      <c r="NZL19" s="344"/>
      <c r="NZM19" s="344"/>
      <c r="NZN19" s="344"/>
      <c r="NZO19" s="344"/>
      <c r="NZP19" s="344"/>
      <c r="NZQ19" s="344"/>
      <c r="NZR19" s="344"/>
      <c r="NZS19" s="344"/>
      <c r="NZT19" s="344"/>
      <c r="NZU19" s="344"/>
      <c r="NZV19" s="344"/>
      <c r="NZW19" s="344"/>
      <c r="NZX19" s="344"/>
      <c r="NZY19" s="344"/>
      <c r="NZZ19" s="344"/>
      <c r="OAA19" s="344"/>
      <c r="OAB19" s="344"/>
      <c r="OAC19" s="344"/>
      <c r="OAD19" s="344"/>
      <c r="OAE19" s="344"/>
      <c r="OAF19" s="344"/>
      <c r="OAG19" s="344"/>
      <c r="OAH19" s="344"/>
      <c r="OAI19" s="344"/>
      <c r="OAJ19" s="344"/>
      <c r="OAK19" s="344"/>
      <c r="OAL19" s="344"/>
      <c r="OAM19" s="344"/>
      <c r="OAN19" s="344"/>
      <c r="OAO19" s="344"/>
      <c r="OAP19" s="344"/>
      <c r="OAQ19" s="344"/>
      <c r="OAR19" s="344"/>
      <c r="OAS19" s="344"/>
      <c r="OAT19" s="344"/>
      <c r="OAU19" s="344"/>
      <c r="OAV19" s="344"/>
      <c r="OAW19" s="344"/>
      <c r="OAX19" s="344"/>
      <c r="OAY19" s="344"/>
      <c r="OAZ19" s="344"/>
      <c r="OBA19" s="344"/>
      <c r="OBB19" s="344"/>
      <c r="OBC19" s="344"/>
      <c r="OBD19" s="344"/>
      <c r="OBE19" s="344"/>
      <c r="OBF19" s="344"/>
      <c r="OBG19" s="344"/>
      <c r="OBH19" s="344"/>
      <c r="OBI19" s="344"/>
      <c r="OBJ19" s="344"/>
      <c r="OBK19" s="344"/>
      <c r="OBL19" s="344"/>
      <c r="OBM19" s="344"/>
      <c r="OBN19" s="344"/>
      <c r="OBO19" s="344"/>
      <c r="OBP19" s="344"/>
      <c r="OBQ19" s="344"/>
      <c r="OBR19" s="344"/>
      <c r="OBS19" s="344"/>
      <c r="OBT19" s="344"/>
      <c r="OBU19" s="344"/>
      <c r="OBV19" s="344"/>
      <c r="OBW19" s="344"/>
      <c r="OBX19" s="344"/>
      <c r="OBY19" s="344"/>
      <c r="OBZ19" s="344"/>
      <c r="OCA19" s="344"/>
      <c r="OCB19" s="344"/>
      <c r="OCC19" s="344"/>
      <c r="OCD19" s="344"/>
      <c r="OCE19" s="344"/>
      <c r="OCF19" s="344"/>
      <c r="OCG19" s="344"/>
      <c r="OCH19" s="344"/>
      <c r="OCI19" s="344"/>
      <c r="OCJ19" s="344"/>
      <c r="OCK19" s="344"/>
      <c r="OCL19" s="344"/>
      <c r="OCM19" s="344"/>
      <c r="OCN19" s="344"/>
      <c r="OCO19" s="344"/>
      <c r="OCP19" s="344"/>
      <c r="OCQ19" s="344"/>
      <c r="OCR19" s="344"/>
      <c r="OCS19" s="344"/>
      <c r="OCT19" s="344"/>
      <c r="OCU19" s="344"/>
      <c r="OCV19" s="344"/>
      <c r="OCW19" s="344"/>
      <c r="OCX19" s="344"/>
      <c r="OCY19" s="344"/>
      <c r="OCZ19" s="344"/>
      <c r="ODA19" s="344"/>
      <c r="ODB19" s="344"/>
      <c r="ODC19" s="344"/>
      <c r="ODD19" s="344"/>
      <c r="ODE19" s="344"/>
      <c r="ODF19" s="344"/>
      <c r="ODG19" s="344"/>
      <c r="ODH19" s="344"/>
      <c r="ODI19" s="344"/>
      <c r="ODJ19" s="344"/>
      <c r="ODK19" s="344"/>
      <c r="ODL19" s="344"/>
      <c r="ODM19" s="344"/>
      <c r="ODN19" s="344"/>
      <c r="ODO19" s="344"/>
      <c r="ODP19" s="344"/>
      <c r="ODQ19" s="344"/>
      <c r="ODR19" s="344"/>
      <c r="ODS19" s="344"/>
      <c r="ODT19" s="344"/>
      <c r="ODU19" s="344"/>
      <c r="ODV19" s="344"/>
      <c r="ODW19" s="344"/>
      <c r="ODX19" s="344"/>
      <c r="ODY19" s="344"/>
      <c r="ODZ19" s="344"/>
      <c r="OEA19" s="344"/>
      <c r="OEB19" s="344"/>
      <c r="OEC19" s="344"/>
      <c r="OED19" s="344"/>
      <c r="OEE19" s="344"/>
      <c r="OEF19" s="344"/>
      <c r="OEG19" s="344"/>
      <c r="OEH19" s="344"/>
      <c r="OEI19" s="344"/>
      <c r="OEJ19" s="344"/>
      <c r="OEK19" s="344"/>
      <c r="OEL19" s="344"/>
      <c r="OEM19" s="344"/>
      <c r="OEN19" s="344"/>
      <c r="OEO19" s="344"/>
      <c r="OEP19" s="344"/>
      <c r="OEQ19" s="344"/>
      <c r="OER19" s="344"/>
      <c r="OES19" s="344"/>
      <c r="OET19" s="344"/>
      <c r="OEU19" s="344"/>
      <c r="OEV19" s="344"/>
      <c r="OEW19" s="344"/>
      <c r="OEX19" s="344"/>
      <c r="OEY19" s="344"/>
      <c r="OEZ19" s="344"/>
      <c r="OFA19" s="344"/>
      <c r="OFB19" s="344"/>
      <c r="OFC19" s="344"/>
      <c r="OFD19" s="344"/>
      <c r="OFE19" s="344"/>
      <c r="OFF19" s="344"/>
      <c r="OFG19" s="344"/>
      <c r="OFH19" s="344"/>
      <c r="OFI19" s="344"/>
      <c r="OFJ19" s="344"/>
      <c r="OFK19" s="344"/>
      <c r="OFL19" s="344"/>
      <c r="OFM19" s="344"/>
      <c r="OFN19" s="344"/>
      <c r="OFO19" s="344"/>
      <c r="OFP19" s="344"/>
      <c r="OFQ19" s="344"/>
      <c r="OFR19" s="344"/>
      <c r="OFS19" s="344"/>
      <c r="OFT19" s="344"/>
      <c r="OFU19" s="344"/>
      <c r="OFV19" s="344"/>
      <c r="OFW19" s="344"/>
      <c r="OFX19" s="344"/>
      <c r="OFY19" s="344"/>
      <c r="OFZ19" s="344"/>
      <c r="OGA19" s="344"/>
      <c r="OGB19" s="344"/>
      <c r="OGC19" s="344"/>
      <c r="OGD19" s="344"/>
      <c r="OGE19" s="344"/>
      <c r="OGF19" s="344"/>
      <c r="OGG19" s="344"/>
      <c r="OGH19" s="344"/>
      <c r="OGI19" s="344"/>
      <c r="OGJ19" s="344"/>
      <c r="OGK19" s="344"/>
      <c r="OGL19" s="344"/>
      <c r="OGM19" s="344"/>
      <c r="OGN19" s="344"/>
      <c r="OGO19" s="344"/>
      <c r="OGP19" s="344"/>
      <c r="OGQ19" s="344"/>
      <c r="OGR19" s="344"/>
      <c r="OGS19" s="344"/>
      <c r="OGT19" s="344"/>
      <c r="OGU19" s="344"/>
      <c r="OGV19" s="344"/>
      <c r="OGW19" s="344"/>
      <c r="OGX19" s="344"/>
      <c r="OGY19" s="344"/>
      <c r="OGZ19" s="344"/>
      <c r="OHA19" s="344"/>
      <c r="OHB19" s="344"/>
      <c r="OHC19" s="344"/>
      <c r="OHD19" s="344"/>
      <c r="OHE19" s="344"/>
      <c r="OHF19" s="344"/>
      <c r="OHG19" s="344"/>
      <c r="OHH19" s="344"/>
      <c r="OHI19" s="344"/>
      <c r="OHJ19" s="344"/>
      <c r="OHK19" s="344"/>
      <c r="OHL19" s="344"/>
      <c r="OHM19" s="344"/>
      <c r="OHN19" s="344"/>
      <c r="OHO19" s="344"/>
      <c r="OHP19" s="344"/>
      <c r="OHQ19" s="344"/>
      <c r="OHR19" s="344"/>
      <c r="OHS19" s="344"/>
      <c r="OHT19" s="344"/>
      <c r="OHU19" s="344"/>
      <c r="OHV19" s="344"/>
      <c r="OHW19" s="344"/>
      <c r="OHX19" s="344"/>
      <c r="OHY19" s="344"/>
      <c r="OHZ19" s="344"/>
      <c r="OIA19" s="344"/>
      <c r="OIB19" s="344"/>
      <c r="OIC19" s="344"/>
      <c r="OID19" s="344"/>
      <c r="OIE19" s="344"/>
      <c r="OIF19" s="344"/>
      <c r="OIG19" s="344"/>
      <c r="OIH19" s="344"/>
      <c r="OII19" s="344"/>
      <c r="OIJ19" s="344"/>
      <c r="OIK19" s="344"/>
      <c r="OIL19" s="344"/>
      <c r="OIM19" s="344"/>
      <c r="OIN19" s="344"/>
      <c r="OIO19" s="344"/>
      <c r="OIP19" s="344"/>
      <c r="OIQ19" s="344"/>
      <c r="OIR19" s="344"/>
      <c r="OIS19" s="344"/>
      <c r="OIT19" s="344"/>
      <c r="OIU19" s="344"/>
      <c r="OIV19" s="344"/>
      <c r="OIW19" s="344"/>
      <c r="OIX19" s="344"/>
      <c r="OIY19" s="344"/>
      <c r="OIZ19" s="344"/>
      <c r="OJA19" s="344"/>
      <c r="OJB19" s="344"/>
      <c r="OJC19" s="344"/>
      <c r="OJD19" s="344"/>
      <c r="OJE19" s="344"/>
      <c r="OJF19" s="344"/>
      <c r="OJG19" s="344"/>
      <c r="OJH19" s="344"/>
      <c r="OJI19" s="344"/>
      <c r="OJJ19" s="344"/>
      <c r="OJK19" s="344"/>
      <c r="OJL19" s="344"/>
      <c r="OJM19" s="344"/>
      <c r="OJN19" s="344"/>
      <c r="OJO19" s="344"/>
      <c r="OJP19" s="344"/>
      <c r="OJQ19" s="344"/>
      <c r="OJR19" s="344"/>
      <c r="OJS19" s="344"/>
      <c r="OJT19" s="344"/>
      <c r="OJU19" s="344"/>
      <c r="OJV19" s="344"/>
      <c r="OJW19" s="344"/>
      <c r="OJX19" s="344"/>
      <c r="OJY19" s="344"/>
      <c r="OJZ19" s="344"/>
      <c r="OKA19" s="344"/>
      <c r="OKB19" s="344"/>
      <c r="OKC19" s="344"/>
      <c r="OKD19" s="344"/>
      <c r="OKE19" s="344"/>
      <c r="OKF19" s="344"/>
      <c r="OKG19" s="344"/>
      <c r="OKH19" s="344"/>
      <c r="OKI19" s="344"/>
      <c r="OKJ19" s="344"/>
      <c r="OKK19" s="344"/>
      <c r="OKL19" s="344"/>
      <c r="OKM19" s="344"/>
      <c r="OKN19" s="344"/>
      <c r="OKO19" s="344"/>
      <c r="OKP19" s="344"/>
      <c r="OKQ19" s="344"/>
      <c r="OKR19" s="344"/>
      <c r="OKS19" s="344"/>
      <c r="OKT19" s="344"/>
      <c r="OKU19" s="344"/>
      <c r="OKV19" s="344"/>
      <c r="OKW19" s="344"/>
      <c r="OKX19" s="344"/>
      <c r="OKY19" s="344"/>
      <c r="OKZ19" s="344"/>
      <c r="OLA19" s="344"/>
      <c r="OLB19" s="344"/>
      <c r="OLC19" s="344"/>
      <c r="OLD19" s="344"/>
      <c r="OLE19" s="344"/>
      <c r="OLF19" s="344"/>
      <c r="OLG19" s="344"/>
      <c r="OLH19" s="344"/>
      <c r="OLI19" s="344"/>
      <c r="OLJ19" s="344"/>
      <c r="OLK19" s="344"/>
      <c r="OLL19" s="344"/>
      <c r="OLM19" s="344"/>
      <c r="OLN19" s="344"/>
      <c r="OLO19" s="344"/>
      <c r="OLP19" s="344"/>
      <c r="OLQ19" s="344"/>
      <c r="OLR19" s="344"/>
      <c r="OLS19" s="344"/>
      <c r="OLT19" s="344"/>
      <c r="OLU19" s="344"/>
      <c r="OLV19" s="344"/>
      <c r="OLW19" s="344"/>
      <c r="OLX19" s="344"/>
      <c r="OLY19" s="344"/>
      <c r="OLZ19" s="344"/>
      <c r="OMA19" s="344"/>
      <c r="OMB19" s="344"/>
      <c r="OMC19" s="344"/>
      <c r="OMD19" s="344"/>
      <c r="OME19" s="344"/>
      <c r="OMF19" s="344"/>
      <c r="OMG19" s="344"/>
      <c r="OMH19" s="344"/>
      <c r="OMI19" s="344"/>
      <c r="OMJ19" s="344"/>
      <c r="OMK19" s="344"/>
      <c r="OML19" s="344"/>
      <c r="OMM19" s="344"/>
      <c r="OMN19" s="344"/>
      <c r="OMO19" s="344"/>
      <c r="OMP19" s="344"/>
      <c r="OMQ19" s="344"/>
      <c r="OMR19" s="344"/>
      <c r="OMS19" s="344"/>
      <c r="OMT19" s="344"/>
      <c r="OMU19" s="344"/>
      <c r="OMV19" s="344"/>
      <c r="OMW19" s="344"/>
      <c r="OMX19" s="344"/>
      <c r="OMY19" s="344"/>
      <c r="OMZ19" s="344"/>
      <c r="ONA19" s="344"/>
      <c r="ONB19" s="344"/>
      <c r="ONC19" s="344"/>
      <c r="OND19" s="344"/>
      <c r="ONE19" s="344"/>
      <c r="ONF19" s="344"/>
      <c r="ONG19" s="344"/>
      <c r="ONH19" s="344"/>
      <c r="ONI19" s="344"/>
      <c r="ONJ19" s="344"/>
      <c r="ONK19" s="344"/>
      <c r="ONL19" s="344"/>
      <c r="ONM19" s="344"/>
      <c r="ONN19" s="344"/>
      <c r="ONO19" s="344"/>
      <c r="ONP19" s="344"/>
      <c r="ONQ19" s="344"/>
      <c r="ONR19" s="344"/>
      <c r="ONS19" s="344"/>
      <c r="ONT19" s="344"/>
      <c r="ONU19" s="344"/>
      <c r="ONV19" s="344"/>
      <c r="ONW19" s="344"/>
      <c r="ONX19" s="344"/>
      <c r="ONY19" s="344"/>
      <c r="ONZ19" s="344"/>
      <c r="OOA19" s="344"/>
      <c r="OOB19" s="344"/>
      <c r="OOC19" s="344"/>
      <c r="OOD19" s="344"/>
      <c r="OOE19" s="344"/>
      <c r="OOF19" s="344"/>
      <c r="OOG19" s="344"/>
      <c r="OOH19" s="344"/>
      <c r="OOI19" s="344"/>
      <c r="OOJ19" s="344"/>
      <c r="OOK19" s="344"/>
      <c r="OOL19" s="344"/>
      <c r="OOM19" s="344"/>
      <c r="OON19" s="344"/>
      <c r="OOO19" s="344"/>
      <c r="OOP19" s="344"/>
      <c r="OOQ19" s="344"/>
      <c r="OOR19" s="344"/>
      <c r="OOS19" s="344"/>
      <c r="OOT19" s="344"/>
      <c r="OOU19" s="344"/>
      <c r="OOV19" s="344"/>
      <c r="OOW19" s="344"/>
      <c r="OOX19" s="344"/>
      <c r="OOY19" s="344"/>
      <c r="OOZ19" s="344"/>
      <c r="OPA19" s="344"/>
      <c r="OPB19" s="344"/>
      <c r="OPC19" s="344"/>
      <c r="OPD19" s="344"/>
      <c r="OPE19" s="344"/>
      <c r="OPF19" s="344"/>
      <c r="OPG19" s="344"/>
      <c r="OPH19" s="344"/>
      <c r="OPI19" s="344"/>
      <c r="OPJ19" s="344"/>
      <c r="OPK19" s="344"/>
      <c r="OPL19" s="344"/>
      <c r="OPM19" s="344"/>
      <c r="OPN19" s="344"/>
      <c r="OPO19" s="344"/>
      <c r="OPP19" s="344"/>
      <c r="OPQ19" s="344"/>
      <c r="OPR19" s="344"/>
      <c r="OPS19" s="344"/>
      <c r="OPT19" s="344"/>
      <c r="OPU19" s="344"/>
      <c r="OPV19" s="344"/>
      <c r="OPW19" s="344"/>
      <c r="OPX19" s="344"/>
      <c r="OPY19" s="344"/>
      <c r="OPZ19" s="344"/>
      <c r="OQA19" s="344"/>
      <c r="OQB19" s="344"/>
      <c r="OQC19" s="344"/>
      <c r="OQD19" s="344"/>
      <c r="OQE19" s="344"/>
      <c r="OQF19" s="344"/>
      <c r="OQG19" s="344"/>
      <c r="OQH19" s="344"/>
      <c r="OQI19" s="344"/>
      <c r="OQJ19" s="344"/>
      <c r="OQK19" s="344"/>
      <c r="OQL19" s="344"/>
      <c r="OQM19" s="344"/>
      <c r="OQN19" s="344"/>
      <c r="OQO19" s="344"/>
      <c r="OQP19" s="344"/>
      <c r="OQQ19" s="344"/>
      <c r="OQR19" s="344"/>
      <c r="OQS19" s="344"/>
      <c r="OQT19" s="344"/>
      <c r="OQU19" s="344"/>
      <c r="OQV19" s="344"/>
      <c r="OQW19" s="344"/>
      <c r="OQX19" s="344"/>
      <c r="OQY19" s="344"/>
      <c r="OQZ19" s="344"/>
      <c r="ORA19" s="344"/>
      <c r="ORB19" s="344"/>
      <c r="ORC19" s="344"/>
      <c r="ORD19" s="344"/>
      <c r="ORE19" s="344"/>
      <c r="ORF19" s="344"/>
      <c r="ORG19" s="344"/>
      <c r="ORH19" s="344"/>
      <c r="ORI19" s="344"/>
      <c r="ORJ19" s="344"/>
      <c r="ORK19" s="344"/>
      <c r="ORL19" s="344"/>
      <c r="ORM19" s="344"/>
      <c r="ORN19" s="344"/>
      <c r="ORO19" s="344"/>
      <c r="ORP19" s="344"/>
      <c r="ORQ19" s="344"/>
      <c r="ORR19" s="344"/>
      <c r="ORS19" s="344"/>
      <c r="ORT19" s="344"/>
      <c r="ORU19" s="344"/>
      <c r="ORV19" s="344"/>
      <c r="ORW19" s="344"/>
      <c r="ORX19" s="344"/>
      <c r="ORY19" s="344"/>
      <c r="ORZ19" s="344"/>
      <c r="OSA19" s="344"/>
      <c r="OSB19" s="344"/>
      <c r="OSC19" s="344"/>
      <c r="OSD19" s="344"/>
      <c r="OSE19" s="344"/>
      <c r="OSF19" s="344"/>
      <c r="OSG19" s="344"/>
      <c r="OSH19" s="344"/>
      <c r="OSI19" s="344"/>
      <c r="OSJ19" s="344"/>
      <c r="OSK19" s="344"/>
      <c r="OSL19" s="344"/>
      <c r="OSM19" s="344"/>
      <c r="OSN19" s="344"/>
      <c r="OSO19" s="344"/>
      <c r="OSP19" s="344"/>
      <c r="OSQ19" s="344"/>
      <c r="OSR19" s="344"/>
      <c r="OSS19" s="344"/>
      <c r="OST19" s="344"/>
      <c r="OSU19" s="344"/>
      <c r="OSV19" s="344"/>
      <c r="OSW19" s="344"/>
      <c r="OSX19" s="344"/>
      <c r="OSY19" s="344"/>
      <c r="OSZ19" s="344"/>
      <c r="OTA19" s="344"/>
      <c r="OTB19" s="344"/>
      <c r="OTC19" s="344"/>
      <c r="OTD19" s="344"/>
      <c r="OTE19" s="344"/>
      <c r="OTF19" s="344"/>
      <c r="OTG19" s="344"/>
      <c r="OTH19" s="344"/>
      <c r="OTI19" s="344"/>
      <c r="OTJ19" s="344"/>
      <c r="OTK19" s="344"/>
      <c r="OTL19" s="344"/>
      <c r="OTM19" s="344"/>
      <c r="OTN19" s="344"/>
      <c r="OTO19" s="344"/>
      <c r="OTP19" s="344"/>
      <c r="OTQ19" s="344"/>
      <c r="OTR19" s="344"/>
      <c r="OTS19" s="344"/>
      <c r="OTT19" s="344"/>
      <c r="OTU19" s="344"/>
      <c r="OTV19" s="344"/>
      <c r="OTW19" s="344"/>
      <c r="OTX19" s="344"/>
      <c r="OTY19" s="344"/>
      <c r="OTZ19" s="344"/>
      <c r="OUA19" s="344"/>
      <c r="OUB19" s="344"/>
      <c r="OUC19" s="344"/>
      <c r="OUD19" s="344"/>
      <c r="OUE19" s="344"/>
      <c r="OUF19" s="344"/>
      <c r="OUG19" s="344"/>
      <c r="OUH19" s="344"/>
      <c r="OUI19" s="344"/>
      <c r="OUJ19" s="344"/>
      <c r="OUK19" s="344"/>
      <c r="OUL19" s="344"/>
      <c r="OUM19" s="344"/>
      <c r="OUN19" s="344"/>
      <c r="OUO19" s="344"/>
      <c r="OUP19" s="344"/>
      <c r="OUQ19" s="344"/>
      <c r="OUR19" s="344"/>
      <c r="OUS19" s="344"/>
      <c r="OUT19" s="344"/>
      <c r="OUU19" s="344"/>
      <c r="OUV19" s="344"/>
      <c r="OUW19" s="344"/>
      <c r="OUX19" s="344"/>
      <c r="OUY19" s="344"/>
      <c r="OUZ19" s="344"/>
      <c r="OVA19" s="344"/>
      <c r="OVB19" s="344"/>
      <c r="OVC19" s="344"/>
      <c r="OVD19" s="344"/>
      <c r="OVE19" s="344"/>
      <c r="OVF19" s="344"/>
      <c r="OVG19" s="344"/>
      <c r="OVH19" s="344"/>
      <c r="OVI19" s="344"/>
      <c r="OVJ19" s="344"/>
      <c r="OVK19" s="344"/>
      <c r="OVL19" s="344"/>
      <c r="OVM19" s="344"/>
      <c r="OVN19" s="344"/>
      <c r="OVO19" s="344"/>
      <c r="OVP19" s="344"/>
      <c r="OVQ19" s="344"/>
      <c r="OVR19" s="344"/>
      <c r="OVS19" s="344"/>
      <c r="OVT19" s="344"/>
      <c r="OVU19" s="344"/>
      <c r="OVV19" s="344"/>
      <c r="OVW19" s="344"/>
      <c r="OVX19" s="344"/>
      <c r="OVY19" s="344"/>
      <c r="OVZ19" s="344"/>
      <c r="OWA19" s="344"/>
      <c r="OWB19" s="344"/>
      <c r="OWC19" s="344"/>
      <c r="OWD19" s="344"/>
      <c r="OWE19" s="344"/>
      <c r="OWF19" s="344"/>
      <c r="OWG19" s="344"/>
      <c r="OWH19" s="344"/>
      <c r="OWI19" s="344"/>
      <c r="OWJ19" s="344"/>
      <c r="OWK19" s="344"/>
      <c r="OWL19" s="344"/>
      <c r="OWM19" s="344"/>
      <c r="OWN19" s="344"/>
      <c r="OWO19" s="344"/>
      <c r="OWP19" s="344"/>
      <c r="OWQ19" s="344"/>
      <c r="OWR19" s="344"/>
      <c r="OWS19" s="344"/>
      <c r="OWT19" s="344"/>
      <c r="OWU19" s="344"/>
      <c r="OWV19" s="344"/>
      <c r="OWW19" s="344"/>
      <c r="OWX19" s="344"/>
      <c r="OWY19" s="344"/>
      <c r="OWZ19" s="344"/>
      <c r="OXA19" s="344"/>
      <c r="OXB19" s="344"/>
      <c r="OXC19" s="344"/>
      <c r="OXD19" s="344"/>
      <c r="OXE19" s="344"/>
      <c r="OXF19" s="344"/>
      <c r="OXG19" s="344"/>
      <c r="OXH19" s="344"/>
      <c r="OXI19" s="344"/>
      <c r="OXJ19" s="344"/>
      <c r="OXK19" s="344"/>
      <c r="OXL19" s="344"/>
      <c r="OXM19" s="344"/>
      <c r="OXN19" s="344"/>
      <c r="OXO19" s="344"/>
      <c r="OXP19" s="344"/>
      <c r="OXQ19" s="344"/>
      <c r="OXR19" s="344"/>
      <c r="OXS19" s="344"/>
      <c r="OXT19" s="344"/>
      <c r="OXU19" s="344"/>
      <c r="OXV19" s="344"/>
      <c r="OXW19" s="344"/>
      <c r="OXX19" s="344"/>
      <c r="OXY19" s="344"/>
      <c r="OXZ19" s="344"/>
      <c r="OYA19" s="344"/>
      <c r="OYB19" s="344"/>
      <c r="OYC19" s="344"/>
      <c r="OYD19" s="344"/>
      <c r="OYE19" s="344"/>
      <c r="OYF19" s="344"/>
      <c r="OYG19" s="344"/>
      <c r="OYH19" s="344"/>
      <c r="OYI19" s="344"/>
      <c r="OYJ19" s="344"/>
      <c r="OYK19" s="344"/>
      <c r="OYL19" s="344"/>
      <c r="OYM19" s="344"/>
      <c r="OYN19" s="344"/>
      <c r="OYO19" s="344"/>
      <c r="OYP19" s="344"/>
      <c r="OYQ19" s="344"/>
      <c r="OYR19" s="344"/>
      <c r="OYS19" s="344"/>
      <c r="OYT19" s="344"/>
      <c r="OYU19" s="344"/>
      <c r="OYV19" s="344"/>
      <c r="OYW19" s="344"/>
      <c r="OYX19" s="344"/>
      <c r="OYY19" s="344"/>
      <c r="OYZ19" s="344"/>
      <c r="OZA19" s="344"/>
      <c r="OZB19" s="344"/>
      <c r="OZC19" s="344"/>
      <c r="OZD19" s="344"/>
      <c r="OZE19" s="344"/>
      <c r="OZF19" s="344"/>
      <c r="OZG19" s="344"/>
      <c r="OZH19" s="344"/>
      <c r="OZI19" s="344"/>
      <c r="OZJ19" s="344"/>
      <c r="OZK19" s="344"/>
      <c r="OZL19" s="344"/>
      <c r="OZM19" s="344"/>
      <c r="OZN19" s="344"/>
      <c r="OZO19" s="344"/>
      <c r="OZP19" s="344"/>
      <c r="OZQ19" s="344"/>
      <c r="OZR19" s="344"/>
      <c r="OZS19" s="344"/>
      <c r="OZT19" s="344"/>
      <c r="OZU19" s="344"/>
      <c r="OZV19" s="344"/>
      <c r="OZW19" s="344"/>
      <c r="OZX19" s="344"/>
      <c r="OZY19" s="344"/>
      <c r="OZZ19" s="344"/>
      <c r="PAA19" s="344"/>
      <c r="PAB19" s="344"/>
      <c r="PAC19" s="344"/>
      <c r="PAD19" s="344"/>
      <c r="PAE19" s="344"/>
      <c r="PAF19" s="344"/>
      <c r="PAG19" s="344"/>
      <c r="PAH19" s="344"/>
      <c r="PAI19" s="344"/>
      <c r="PAJ19" s="344"/>
      <c r="PAK19" s="344"/>
      <c r="PAL19" s="344"/>
      <c r="PAM19" s="344"/>
      <c r="PAN19" s="344"/>
      <c r="PAO19" s="344"/>
      <c r="PAP19" s="344"/>
      <c r="PAQ19" s="344"/>
      <c r="PAR19" s="344"/>
      <c r="PAS19" s="344"/>
      <c r="PAT19" s="344"/>
      <c r="PAU19" s="344"/>
      <c r="PAV19" s="344"/>
      <c r="PAW19" s="344"/>
      <c r="PAX19" s="344"/>
      <c r="PAY19" s="344"/>
      <c r="PAZ19" s="344"/>
      <c r="PBA19" s="344"/>
      <c r="PBB19" s="344"/>
      <c r="PBC19" s="344"/>
      <c r="PBD19" s="344"/>
      <c r="PBE19" s="344"/>
      <c r="PBF19" s="344"/>
      <c r="PBG19" s="344"/>
      <c r="PBH19" s="344"/>
      <c r="PBI19" s="344"/>
      <c r="PBJ19" s="344"/>
      <c r="PBK19" s="344"/>
      <c r="PBL19" s="344"/>
      <c r="PBM19" s="344"/>
      <c r="PBN19" s="344"/>
      <c r="PBO19" s="344"/>
      <c r="PBP19" s="344"/>
      <c r="PBQ19" s="344"/>
      <c r="PBR19" s="344"/>
      <c r="PBS19" s="344"/>
      <c r="PBT19" s="344"/>
      <c r="PBU19" s="344"/>
      <c r="PBV19" s="344"/>
      <c r="PBW19" s="344"/>
      <c r="PBX19" s="344"/>
      <c r="PBY19" s="344"/>
      <c r="PBZ19" s="344"/>
      <c r="PCA19" s="344"/>
      <c r="PCB19" s="344"/>
      <c r="PCC19" s="344"/>
      <c r="PCD19" s="344"/>
      <c r="PCE19" s="344"/>
      <c r="PCF19" s="344"/>
      <c r="PCG19" s="344"/>
      <c r="PCH19" s="344"/>
      <c r="PCI19" s="344"/>
      <c r="PCJ19" s="344"/>
      <c r="PCK19" s="344"/>
      <c r="PCL19" s="344"/>
      <c r="PCM19" s="344"/>
      <c r="PCN19" s="344"/>
      <c r="PCO19" s="344"/>
      <c r="PCP19" s="344"/>
      <c r="PCQ19" s="344"/>
      <c r="PCR19" s="344"/>
      <c r="PCS19" s="344"/>
      <c r="PCT19" s="344"/>
      <c r="PCU19" s="344"/>
      <c r="PCV19" s="344"/>
      <c r="PCW19" s="344"/>
      <c r="PCX19" s="344"/>
      <c r="PCY19" s="344"/>
      <c r="PCZ19" s="344"/>
      <c r="PDA19" s="344"/>
      <c r="PDB19" s="344"/>
      <c r="PDC19" s="344"/>
      <c r="PDD19" s="344"/>
      <c r="PDE19" s="344"/>
      <c r="PDF19" s="344"/>
      <c r="PDG19" s="344"/>
      <c r="PDH19" s="344"/>
      <c r="PDI19" s="344"/>
      <c r="PDJ19" s="344"/>
      <c r="PDK19" s="344"/>
      <c r="PDL19" s="344"/>
      <c r="PDM19" s="344"/>
      <c r="PDN19" s="344"/>
      <c r="PDO19" s="344"/>
      <c r="PDP19" s="344"/>
      <c r="PDQ19" s="344"/>
      <c r="PDR19" s="344"/>
      <c r="PDS19" s="344"/>
      <c r="PDT19" s="344"/>
      <c r="PDU19" s="344"/>
      <c r="PDV19" s="344"/>
      <c r="PDW19" s="344"/>
      <c r="PDX19" s="344"/>
      <c r="PDY19" s="344"/>
      <c r="PDZ19" s="344"/>
      <c r="PEA19" s="344"/>
      <c r="PEB19" s="344"/>
      <c r="PEC19" s="344"/>
      <c r="PED19" s="344"/>
      <c r="PEE19" s="344"/>
      <c r="PEF19" s="344"/>
      <c r="PEG19" s="344"/>
      <c r="PEH19" s="344"/>
      <c r="PEI19" s="344"/>
      <c r="PEJ19" s="344"/>
      <c r="PEK19" s="344"/>
      <c r="PEL19" s="344"/>
      <c r="PEM19" s="344"/>
      <c r="PEN19" s="344"/>
      <c r="PEO19" s="344"/>
      <c r="PEP19" s="344"/>
      <c r="PEQ19" s="344"/>
      <c r="PER19" s="344"/>
      <c r="PES19" s="344"/>
      <c r="PET19" s="344"/>
      <c r="PEU19" s="344"/>
      <c r="PEV19" s="344"/>
      <c r="PEW19" s="344"/>
      <c r="PEX19" s="344"/>
      <c r="PEY19" s="344"/>
      <c r="PEZ19" s="344"/>
      <c r="PFA19" s="344"/>
      <c r="PFB19" s="344"/>
      <c r="PFC19" s="344"/>
      <c r="PFD19" s="344"/>
      <c r="PFE19" s="344"/>
      <c r="PFF19" s="344"/>
      <c r="PFG19" s="344"/>
      <c r="PFH19" s="344"/>
      <c r="PFI19" s="344"/>
      <c r="PFJ19" s="344"/>
      <c r="PFK19" s="344"/>
      <c r="PFL19" s="344"/>
      <c r="PFM19" s="344"/>
      <c r="PFN19" s="344"/>
      <c r="PFO19" s="344"/>
      <c r="PFP19" s="344"/>
      <c r="PFQ19" s="344"/>
      <c r="PFR19" s="344"/>
      <c r="PFS19" s="344"/>
      <c r="PFT19" s="344"/>
      <c r="PFU19" s="344"/>
      <c r="PFV19" s="344"/>
      <c r="PFW19" s="344"/>
      <c r="PFX19" s="344"/>
      <c r="PFY19" s="344"/>
      <c r="PFZ19" s="344"/>
      <c r="PGA19" s="344"/>
      <c r="PGB19" s="344"/>
      <c r="PGC19" s="344"/>
      <c r="PGD19" s="344"/>
      <c r="PGE19" s="344"/>
      <c r="PGF19" s="344"/>
      <c r="PGG19" s="344"/>
      <c r="PGH19" s="344"/>
      <c r="PGI19" s="344"/>
      <c r="PGJ19" s="344"/>
      <c r="PGK19" s="344"/>
      <c r="PGL19" s="344"/>
      <c r="PGM19" s="344"/>
      <c r="PGN19" s="344"/>
      <c r="PGO19" s="344"/>
      <c r="PGP19" s="344"/>
      <c r="PGQ19" s="344"/>
      <c r="PGR19" s="344"/>
      <c r="PGS19" s="344"/>
      <c r="PGT19" s="344"/>
      <c r="PGU19" s="344"/>
      <c r="PGV19" s="344"/>
      <c r="PGW19" s="344"/>
      <c r="PGX19" s="344"/>
      <c r="PGY19" s="344"/>
      <c r="PGZ19" s="344"/>
      <c r="PHA19" s="344"/>
      <c r="PHB19" s="344"/>
      <c r="PHC19" s="344"/>
      <c r="PHD19" s="344"/>
      <c r="PHE19" s="344"/>
      <c r="PHF19" s="344"/>
      <c r="PHG19" s="344"/>
      <c r="PHH19" s="344"/>
      <c r="PHI19" s="344"/>
      <c r="PHJ19" s="344"/>
      <c r="PHK19" s="344"/>
      <c r="PHL19" s="344"/>
      <c r="PHM19" s="344"/>
      <c r="PHN19" s="344"/>
      <c r="PHO19" s="344"/>
      <c r="PHP19" s="344"/>
      <c r="PHQ19" s="344"/>
      <c r="PHR19" s="344"/>
      <c r="PHS19" s="344"/>
      <c r="PHT19" s="344"/>
      <c r="PHU19" s="344"/>
      <c r="PHV19" s="344"/>
      <c r="PHW19" s="344"/>
      <c r="PHX19" s="344"/>
      <c r="PHY19" s="344"/>
      <c r="PHZ19" s="344"/>
      <c r="PIA19" s="344"/>
      <c r="PIB19" s="344"/>
      <c r="PIC19" s="344"/>
      <c r="PID19" s="344"/>
      <c r="PIE19" s="344"/>
      <c r="PIF19" s="344"/>
      <c r="PIG19" s="344"/>
      <c r="PIH19" s="344"/>
      <c r="PII19" s="344"/>
      <c r="PIJ19" s="344"/>
      <c r="PIK19" s="344"/>
      <c r="PIL19" s="344"/>
      <c r="PIM19" s="344"/>
      <c r="PIN19" s="344"/>
      <c r="PIO19" s="344"/>
      <c r="PIP19" s="344"/>
      <c r="PIQ19" s="344"/>
      <c r="PIR19" s="344"/>
      <c r="PIS19" s="344"/>
      <c r="PIT19" s="344"/>
      <c r="PIU19" s="344"/>
      <c r="PIV19" s="344"/>
      <c r="PIW19" s="344"/>
      <c r="PIX19" s="344"/>
      <c r="PIY19" s="344"/>
      <c r="PIZ19" s="344"/>
      <c r="PJA19" s="344"/>
      <c r="PJB19" s="344"/>
      <c r="PJC19" s="344"/>
      <c r="PJD19" s="344"/>
      <c r="PJE19" s="344"/>
      <c r="PJF19" s="344"/>
      <c r="PJG19" s="344"/>
      <c r="PJH19" s="344"/>
      <c r="PJI19" s="344"/>
      <c r="PJJ19" s="344"/>
      <c r="PJK19" s="344"/>
      <c r="PJL19" s="344"/>
      <c r="PJM19" s="344"/>
      <c r="PJN19" s="344"/>
      <c r="PJO19" s="344"/>
      <c r="PJP19" s="344"/>
      <c r="PJQ19" s="344"/>
      <c r="PJR19" s="344"/>
      <c r="PJS19" s="344"/>
      <c r="PJT19" s="344"/>
      <c r="PJU19" s="344"/>
      <c r="PJV19" s="344"/>
      <c r="PJW19" s="344"/>
      <c r="PJX19" s="344"/>
      <c r="PJY19" s="344"/>
      <c r="PJZ19" s="344"/>
      <c r="PKA19" s="344"/>
      <c r="PKB19" s="344"/>
      <c r="PKC19" s="344"/>
      <c r="PKD19" s="344"/>
      <c r="PKE19" s="344"/>
      <c r="PKF19" s="344"/>
      <c r="PKG19" s="344"/>
      <c r="PKH19" s="344"/>
      <c r="PKI19" s="344"/>
      <c r="PKJ19" s="344"/>
      <c r="PKK19" s="344"/>
      <c r="PKL19" s="344"/>
      <c r="PKM19" s="344"/>
      <c r="PKN19" s="344"/>
      <c r="PKO19" s="344"/>
      <c r="PKP19" s="344"/>
      <c r="PKQ19" s="344"/>
      <c r="PKR19" s="344"/>
      <c r="PKS19" s="344"/>
      <c r="PKT19" s="344"/>
      <c r="PKU19" s="344"/>
      <c r="PKV19" s="344"/>
      <c r="PKW19" s="344"/>
      <c r="PKX19" s="344"/>
      <c r="PKY19" s="344"/>
      <c r="PKZ19" s="344"/>
      <c r="PLA19" s="344"/>
      <c r="PLB19" s="344"/>
      <c r="PLC19" s="344"/>
      <c r="PLD19" s="344"/>
      <c r="PLE19" s="344"/>
      <c r="PLF19" s="344"/>
      <c r="PLG19" s="344"/>
      <c r="PLH19" s="344"/>
      <c r="PLI19" s="344"/>
      <c r="PLJ19" s="344"/>
      <c r="PLK19" s="344"/>
      <c r="PLL19" s="344"/>
      <c r="PLM19" s="344"/>
      <c r="PLN19" s="344"/>
      <c r="PLO19" s="344"/>
      <c r="PLP19" s="344"/>
      <c r="PLQ19" s="344"/>
      <c r="PLR19" s="344"/>
      <c r="PLS19" s="344"/>
      <c r="PLT19" s="344"/>
      <c r="PLU19" s="344"/>
      <c r="PLV19" s="344"/>
      <c r="PLW19" s="344"/>
      <c r="PLX19" s="344"/>
      <c r="PLY19" s="344"/>
      <c r="PLZ19" s="344"/>
      <c r="PMA19" s="344"/>
      <c r="PMB19" s="344"/>
      <c r="PMC19" s="344"/>
      <c r="PMD19" s="344"/>
      <c r="PME19" s="344"/>
      <c r="PMF19" s="344"/>
      <c r="PMG19" s="344"/>
      <c r="PMH19" s="344"/>
      <c r="PMI19" s="344"/>
      <c r="PMJ19" s="344"/>
      <c r="PMK19" s="344"/>
      <c r="PML19" s="344"/>
      <c r="PMM19" s="344"/>
      <c r="PMN19" s="344"/>
      <c r="PMO19" s="344"/>
      <c r="PMP19" s="344"/>
      <c r="PMQ19" s="344"/>
      <c r="PMR19" s="344"/>
      <c r="PMS19" s="344"/>
      <c r="PMT19" s="344"/>
      <c r="PMU19" s="344"/>
      <c r="PMV19" s="344"/>
      <c r="PMW19" s="344"/>
      <c r="PMX19" s="344"/>
      <c r="PMY19" s="344"/>
      <c r="PMZ19" s="344"/>
      <c r="PNA19" s="344"/>
      <c r="PNB19" s="344"/>
      <c r="PNC19" s="344"/>
      <c r="PND19" s="344"/>
      <c r="PNE19" s="344"/>
      <c r="PNF19" s="344"/>
      <c r="PNG19" s="344"/>
      <c r="PNH19" s="344"/>
      <c r="PNI19" s="344"/>
      <c r="PNJ19" s="344"/>
      <c r="PNK19" s="344"/>
      <c r="PNL19" s="344"/>
      <c r="PNM19" s="344"/>
      <c r="PNN19" s="344"/>
      <c r="PNO19" s="344"/>
      <c r="PNP19" s="344"/>
      <c r="PNQ19" s="344"/>
      <c r="PNR19" s="344"/>
      <c r="PNS19" s="344"/>
      <c r="PNT19" s="344"/>
      <c r="PNU19" s="344"/>
      <c r="PNV19" s="344"/>
      <c r="PNW19" s="344"/>
      <c r="PNX19" s="344"/>
      <c r="PNY19" s="344"/>
      <c r="PNZ19" s="344"/>
      <c r="POA19" s="344"/>
      <c r="POB19" s="344"/>
      <c r="POC19" s="344"/>
      <c r="POD19" s="344"/>
      <c r="POE19" s="344"/>
      <c r="POF19" s="344"/>
      <c r="POG19" s="344"/>
      <c r="POH19" s="344"/>
      <c r="POI19" s="344"/>
      <c r="POJ19" s="344"/>
      <c r="POK19" s="344"/>
      <c r="POL19" s="344"/>
      <c r="POM19" s="344"/>
      <c r="PON19" s="344"/>
      <c r="POO19" s="344"/>
      <c r="POP19" s="344"/>
      <c r="POQ19" s="344"/>
      <c r="POR19" s="344"/>
      <c r="POS19" s="344"/>
      <c r="POT19" s="344"/>
      <c r="POU19" s="344"/>
      <c r="POV19" s="344"/>
      <c r="POW19" s="344"/>
      <c r="POX19" s="344"/>
      <c r="POY19" s="344"/>
      <c r="POZ19" s="344"/>
      <c r="PPA19" s="344"/>
      <c r="PPB19" s="344"/>
      <c r="PPC19" s="344"/>
      <c r="PPD19" s="344"/>
      <c r="PPE19" s="344"/>
      <c r="PPF19" s="344"/>
      <c r="PPG19" s="344"/>
      <c r="PPH19" s="344"/>
      <c r="PPI19" s="344"/>
      <c r="PPJ19" s="344"/>
      <c r="PPK19" s="344"/>
      <c r="PPL19" s="344"/>
      <c r="PPM19" s="344"/>
      <c r="PPN19" s="344"/>
      <c r="PPO19" s="344"/>
      <c r="PPP19" s="344"/>
      <c r="PPQ19" s="344"/>
      <c r="PPR19" s="344"/>
      <c r="PPS19" s="344"/>
      <c r="PPT19" s="344"/>
      <c r="PPU19" s="344"/>
      <c r="PPV19" s="344"/>
      <c r="PPW19" s="344"/>
      <c r="PPX19" s="344"/>
      <c r="PPY19" s="344"/>
      <c r="PPZ19" s="344"/>
      <c r="PQA19" s="344"/>
      <c r="PQB19" s="344"/>
      <c r="PQC19" s="344"/>
      <c r="PQD19" s="344"/>
      <c r="PQE19" s="344"/>
      <c r="PQF19" s="344"/>
      <c r="PQG19" s="344"/>
      <c r="PQH19" s="344"/>
      <c r="PQI19" s="344"/>
      <c r="PQJ19" s="344"/>
      <c r="PQK19" s="344"/>
      <c r="PQL19" s="344"/>
      <c r="PQM19" s="344"/>
      <c r="PQN19" s="344"/>
      <c r="PQO19" s="344"/>
      <c r="PQP19" s="344"/>
      <c r="PQQ19" s="344"/>
      <c r="PQR19" s="344"/>
      <c r="PQS19" s="344"/>
      <c r="PQT19" s="344"/>
      <c r="PQU19" s="344"/>
      <c r="PQV19" s="344"/>
      <c r="PQW19" s="344"/>
      <c r="PQX19" s="344"/>
      <c r="PQY19" s="344"/>
      <c r="PQZ19" s="344"/>
      <c r="PRA19" s="344"/>
      <c r="PRB19" s="344"/>
      <c r="PRC19" s="344"/>
      <c r="PRD19" s="344"/>
      <c r="PRE19" s="344"/>
      <c r="PRF19" s="344"/>
      <c r="PRG19" s="344"/>
      <c r="PRH19" s="344"/>
      <c r="PRI19" s="344"/>
      <c r="PRJ19" s="344"/>
      <c r="PRK19" s="344"/>
      <c r="PRL19" s="344"/>
      <c r="PRM19" s="344"/>
      <c r="PRN19" s="344"/>
      <c r="PRO19" s="344"/>
      <c r="PRP19" s="344"/>
      <c r="PRQ19" s="344"/>
      <c r="PRR19" s="344"/>
      <c r="PRS19" s="344"/>
      <c r="PRT19" s="344"/>
      <c r="PRU19" s="344"/>
      <c r="PRV19" s="344"/>
      <c r="PRW19" s="344"/>
      <c r="PRX19" s="344"/>
      <c r="PRY19" s="344"/>
      <c r="PRZ19" s="344"/>
      <c r="PSA19" s="344"/>
      <c r="PSB19" s="344"/>
      <c r="PSC19" s="344"/>
      <c r="PSD19" s="344"/>
      <c r="PSE19" s="344"/>
      <c r="PSF19" s="344"/>
      <c r="PSG19" s="344"/>
      <c r="PSH19" s="344"/>
      <c r="PSI19" s="344"/>
      <c r="PSJ19" s="344"/>
      <c r="PSK19" s="344"/>
      <c r="PSL19" s="344"/>
      <c r="PSM19" s="344"/>
      <c r="PSN19" s="344"/>
      <c r="PSO19" s="344"/>
      <c r="PSP19" s="344"/>
      <c r="PSQ19" s="344"/>
      <c r="PSR19" s="344"/>
      <c r="PSS19" s="344"/>
      <c r="PST19" s="344"/>
      <c r="PSU19" s="344"/>
      <c r="PSV19" s="344"/>
      <c r="PSW19" s="344"/>
      <c r="PSX19" s="344"/>
      <c r="PSY19" s="344"/>
      <c r="PSZ19" s="344"/>
      <c r="PTA19" s="344"/>
      <c r="PTB19" s="344"/>
      <c r="PTC19" s="344"/>
      <c r="PTD19" s="344"/>
      <c r="PTE19" s="344"/>
      <c r="PTF19" s="344"/>
      <c r="PTG19" s="344"/>
      <c r="PTH19" s="344"/>
      <c r="PTI19" s="344"/>
      <c r="PTJ19" s="344"/>
      <c r="PTK19" s="344"/>
      <c r="PTL19" s="344"/>
      <c r="PTM19" s="344"/>
      <c r="PTN19" s="344"/>
      <c r="PTO19" s="344"/>
      <c r="PTP19" s="344"/>
      <c r="PTQ19" s="344"/>
      <c r="PTR19" s="344"/>
      <c r="PTS19" s="344"/>
      <c r="PTT19" s="344"/>
      <c r="PTU19" s="344"/>
      <c r="PTV19" s="344"/>
      <c r="PTW19" s="344"/>
      <c r="PTX19" s="344"/>
      <c r="PTY19" s="344"/>
      <c r="PTZ19" s="344"/>
      <c r="PUA19" s="344"/>
      <c r="PUB19" s="344"/>
      <c r="PUC19" s="344"/>
      <c r="PUD19" s="344"/>
      <c r="PUE19" s="344"/>
      <c r="PUF19" s="344"/>
      <c r="PUG19" s="344"/>
      <c r="PUH19" s="344"/>
      <c r="PUI19" s="344"/>
      <c r="PUJ19" s="344"/>
      <c r="PUK19" s="344"/>
      <c r="PUL19" s="344"/>
      <c r="PUM19" s="344"/>
      <c r="PUN19" s="344"/>
      <c r="PUO19" s="344"/>
      <c r="PUP19" s="344"/>
      <c r="PUQ19" s="344"/>
      <c r="PUR19" s="344"/>
      <c r="PUS19" s="344"/>
      <c r="PUT19" s="344"/>
      <c r="PUU19" s="344"/>
      <c r="PUV19" s="344"/>
      <c r="PUW19" s="344"/>
      <c r="PUX19" s="344"/>
      <c r="PUY19" s="344"/>
      <c r="PUZ19" s="344"/>
      <c r="PVA19" s="344"/>
      <c r="PVB19" s="344"/>
      <c r="PVC19" s="344"/>
      <c r="PVD19" s="344"/>
      <c r="PVE19" s="344"/>
      <c r="PVF19" s="344"/>
      <c r="PVG19" s="344"/>
      <c r="PVH19" s="344"/>
      <c r="PVI19" s="344"/>
      <c r="PVJ19" s="344"/>
      <c r="PVK19" s="344"/>
      <c r="PVL19" s="344"/>
      <c r="PVM19" s="344"/>
      <c r="PVN19" s="344"/>
      <c r="PVO19" s="344"/>
      <c r="PVP19" s="344"/>
      <c r="PVQ19" s="344"/>
      <c r="PVR19" s="344"/>
      <c r="PVS19" s="344"/>
      <c r="PVT19" s="344"/>
      <c r="PVU19" s="344"/>
      <c r="PVV19" s="344"/>
      <c r="PVW19" s="344"/>
      <c r="PVX19" s="344"/>
      <c r="PVY19" s="344"/>
      <c r="PVZ19" s="344"/>
      <c r="PWA19" s="344"/>
      <c r="PWB19" s="344"/>
      <c r="PWC19" s="344"/>
      <c r="PWD19" s="344"/>
      <c r="PWE19" s="344"/>
      <c r="PWF19" s="344"/>
      <c r="PWG19" s="344"/>
      <c r="PWH19" s="344"/>
      <c r="PWI19" s="344"/>
      <c r="PWJ19" s="344"/>
      <c r="PWK19" s="344"/>
      <c r="PWL19" s="344"/>
      <c r="PWM19" s="344"/>
      <c r="PWN19" s="344"/>
      <c r="PWO19" s="344"/>
      <c r="PWP19" s="344"/>
      <c r="PWQ19" s="344"/>
      <c r="PWR19" s="344"/>
      <c r="PWS19" s="344"/>
      <c r="PWT19" s="344"/>
      <c r="PWU19" s="344"/>
      <c r="PWV19" s="344"/>
      <c r="PWW19" s="344"/>
      <c r="PWX19" s="344"/>
      <c r="PWY19" s="344"/>
      <c r="PWZ19" s="344"/>
      <c r="PXA19" s="344"/>
      <c r="PXB19" s="344"/>
      <c r="PXC19" s="344"/>
      <c r="PXD19" s="344"/>
      <c r="PXE19" s="344"/>
      <c r="PXF19" s="344"/>
      <c r="PXG19" s="344"/>
      <c r="PXH19" s="344"/>
      <c r="PXI19" s="344"/>
      <c r="PXJ19" s="344"/>
      <c r="PXK19" s="344"/>
      <c r="PXL19" s="344"/>
      <c r="PXM19" s="344"/>
      <c r="PXN19" s="344"/>
      <c r="PXO19" s="344"/>
      <c r="PXP19" s="344"/>
      <c r="PXQ19" s="344"/>
      <c r="PXR19" s="344"/>
      <c r="PXS19" s="344"/>
      <c r="PXT19" s="344"/>
      <c r="PXU19" s="344"/>
      <c r="PXV19" s="344"/>
      <c r="PXW19" s="344"/>
      <c r="PXX19" s="344"/>
      <c r="PXY19" s="344"/>
      <c r="PXZ19" s="344"/>
      <c r="PYA19" s="344"/>
      <c r="PYB19" s="344"/>
      <c r="PYC19" s="344"/>
      <c r="PYD19" s="344"/>
      <c r="PYE19" s="344"/>
      <c r="PYF19" s="344"/>
      <c r="PYG19" s="344"/>
      <c r="PYH19" s="344"/>
      <c r="PYI19" s="344"/>
      <c r="PYJ19" s="344"/>
      <c r="PYK19" s="344"/>
      <c r="PYL19" s="344"/>
      <c r="PYM19" s="344"/>
      <c r="PYN19" s="344"/>
      <c r="PYO19" s="344"/>
      <c r="PYP19" s="344"/>
      <c r="PYQ19" s="344"/>
      <c r="PYR19" s="344"/>
      <c r="PYS19" s="344"/>
      <c r="PYT19" s="344"/>
      <c r="PYU19" s="344"/>
      <c r="PYV19" s="344"/>
      <c r="PYW19" s="344"/>
      <c r="PYX19" s="344"/>
      <c r="PYY19" s="344"/>
      <c r="PYZ19" s="344"/>
      <c r="PZA19" s="344"/>
      <c r="PZB19" s="344"/>
      <c r="PZC19" s="344"/>
      <c r="PZD19" s="344"/>
      <c r="PZE19" s="344"/>
      <c r="PZF19" s="344"/>
      <c r="PZG19" s="344"/>
      <c r="PZH19" s="344"/>
      <c r="PZI19" s="344"/>
      <c r="PZJ19" s="344"/>
      <c r="PZK19" s="344"/>
      <c r="PZL19" s="344"/>
      <c r="PZM19" s="344"/>
      <c r="PZN19" s="344"/>
      <c r="PZO19" s="344"/>
      <c r="PZP19" s="344"/>
      <c r="PZQ19" s="344"/>
      <c r="PZR19" s="344"/>
      <c r="PZS19" s="344"/>
      <c r="PZT19" s="344"/>
      <c r="PZU19" s="344"/>
      <c r="PZV19" s="344"/>
      <c r="PZW19" s="344"/>
      <c r="PZX19" s="344"/>
      <c r="PZY19" s="344"/>
      <c r="PZZ19" s="344"/>
      <c r="QAA19" s="344"/>
      <c r="QAB19" s="344"/>
      <c r="QAC19" s="344"/>
      <c r="QAD19" s="344"/>
      <c r="QAE19" s="344"/>
      <c r="QAF19" s="344"/>
      <c r="QAG19" s="344"/>
      <c r="QAH19" s="344"/>
      <c r="QAI19" s="344"/>
      <c r="QAJ19" s="344"/>
      <c r="QAK19" s="344"/>
      <c r="QAL19" s="344"/>
      <c r="QAM19" s="344"/>
      <c r="QAN19" s="344"/>
      <c r="QAO19" s="344"/>
      <c r="QAP19" s="344"/>
      <c r="QAQ19" s="344"/>
      <c r="QAR19" s="344"/>
      <c r="QAS19" s="344"/>
      <c r="QAT19" s="344"/>
      <c r="QAU19" s="344"/>
      <c r="QAV19" s="344"/>
      <c r="QAW19" s="344"/>
      <c r="QAX19" s="344"/>
      <c r="QAY19" s="344"/>
      <c r="QAZ19" s="344"/>
      <c r="QBA19" s="344"/>
      <c r="QBB19" s="344"/>
      <c r="QBC19" s="344"/>
      <c r="QBD19" s="344"/>
      <c r="QBE19" s="344"/>
      <c r="QBF19" s="344"/>
      <c r="QBG19" s="344"/>
      <c r="QBH19" s="344"/>
      <c r="QBI19" s="344"/>
      <c r="QBJ19" s="344"/>
      <c r="QBK19" s="344"/>
      <c r="QBL19" s="344"/>
      <c r="QBM19" s="344"/>
      <c r="QBN19" s="344"/>
      <c r="QBO19" s="344"/>
      <c r="QBP19" s="344"/>
      <c r="QBQ19" s="344"/>
      <c r="QBR19" s="344"/>
      <c r="QBS19" s="344"/>
      <c r="QBT19" s="344"/>
      <c r="QBU19" s="344"/>
      <c r="QBV19" s="344"/>
      <c r="QBW19" s="344"/>
      <c r="QBX19" s="344"/>
      <c r="QBY19" s="344"/>
      <c r="QBZ19" s="344"/>
      <c r="QCA19" s="344"/>
      <c r="QCB19" s="344"/>
      <c r="QCC19" s="344"/>
      <c r="QCD19" s="344"/>
      <c r="QCE19" s="344"/>
      <c r="QCF19" s="344"/>
      <c r="QCG19" s="344"/>
      <c r="QCH19" s="344"/>
      <c r="QCI19" s="344"/>
      <c r="QCJ19" s="344"/>
      <c r="QCK19" s="344"/>
      <c r="QCL19" s="344"/>
      <c r="QCM19" s="344"/>
      <c r="QCN19" s="344"/>
      <c r="QCO19" s="344"/>
      <c r="QCP19" s="344"/>
      <c r="QCQ19" s="344"/>
      <c r="QCR19" s="344"/>
      <c r="QCS19" s="344"/>
      <c r="QCT19" s="344"/>
      <c r="QCU19" s="344"/>
      <c r="QCV19" s="344"/>
      <c r="QCW19" s="344"/>
      <c r="QCX19" s="344"/>
      <c r="QCY19" s="344"/>
      <c r="QCZ19" s="344"/>
      <c r="QDA19" s="344"/>
      <c r="QDB19" s="344"/>
      <c r="QDC19" s="344"/>
      <c r="QDD19" s="344"/>
      <c r="QDE19" s="344"/>
      <c r="QDF19" s="344"/>
      <c r="QDG19" s="344"/>
      <c r="QDH19" s="344"/>
      <c r="QDI19" s="344"/>
      <c r="QDJ19" s="344"/>
      <c r="QDK19" s="344"/>
      <c r="QDL19" s="344"/>
      <c r="QDM19" s="344"/>
      <c r="QDN19" s="344"/>
      <c r="QDO19" s="344"/>
      <c r="QDP19" s="344"/>
      <c r="QDQ19" s="344"/>
      <c r="QDR19" s="344"/>
      <c r="QDS19" s="344"/>
      <c r="QDT19" s="344"/>
      <c r="QDU19" s="344"/>
      <c r="QDV19" s="344"/>
      <c r="QDW19" s="344"/>
      <c r="QDX19" s="344"/>
      <c r="QDY19" s="344"/>
      <c r="QDZ19" s="344"/>
      <c r="QEA19" s="344"/>
      <c r="QEB19" s="344"/>
      <c r="QEC19" s="344"/>
      <c r="QED19" s="344"/>
      <c r="QEE19" s="344"/>
      <c r="QEF19" s="344"/>
      <c r="QEG19" s="344"/>
      <c r="QEH19" s="344"/>
      <c r="QEI19" s="344"/>
      <c r="QEJ19" s="344"/>
      <c r="QEK19" s="344"/>
      <c r="QEL19" s="344"/>
      <c r="QEM19" s="344"/>
      <c r="QEN19" s="344"/>
      <c r="QEO19" s="344"/>
      <c r="QEP19" s="344"/>
      <c r="QEQ19" s="344"/>
      <c r="QER19" s="344"/>
      <c r="QES19" s="344"/>
      <c r="QET19" s="344"/>
      <c r="QEU19" s="344"/>
      <c r="QEV19" s="344"/>
      <c r="QEW19" s="344"/>
      <c r="QEX19" s="344"/>
      <c r="QEY19" s="344"/>
      <c r="QEZ19" s="344"/>
      <c r="QFA19" s="344"/>
      <c r="QFB19" s="344"/>
      <c r="QFC19" s="344"/>
      <c r="QFD19" s="344"/>
      <c r="QFE19" s="344"/>
      <c r="QFF19" s="344"/>
      <c r="QFG19" s="344"/>
      <c r="QFH19" s="344"/>
      <c r="QFI19" s="344"/>
      <c r="QFJ19" s="344"/>
      <c r="QFK19" s="344"/>
      <c r="QFL19" s="344"/>
      <c r="QFM19" s="344"/>
      <c r="QFN19" s="344"/>
      <c r="QFO19" s="344"/>
      <c r="QFP19" s="344"/>
      <c r="QFQ19" s="344"/>
      <c r="QFR19" s="344"/>
      <c r="QFS19" s="344"/>
      <c r="QFT19" s="344"/>
      <c r="QFU19" s="344"/>
      <c r="QFV19" s="344"/>
      <c r="QFW19" s="344"/>
      <c r="QFX19" s="344"/>
      <c r="QFY19" s="344"/>
      <c r="QFZ19" s="344"/>
      <c r="QGA19" s="344"/>
      <c r="QGB19" s="344"/>
      <c r="QGC19" s="344"/>
      <c r="QGD19" s="344"/>
      <c r="QGE19" s="344"/>
      <c r="QGF19" s="344"/>
      <c r="QGG19" s="344"/>
      <c r="QGH19" s="344"/>
      <c r="QGI19" s="344"/>
      <c r="QGJ19" s="344"/>
      <c r="QGK19" s="344"/>
      <c r="QGL19" s="344"/>
      <c r="QGM19" s="344"/>
      <c r="QGN19" s="344"/>
      <c r="QGO19" s="344"/>
      <c r="QGP19" s="344"/>
      <c r="QGQ19" s="344"/>
      <c r="QGR19" s="344"/>
      <c r="QGS19" s="344"/>
      <c r="QGT19" s="344"/>
      <c r="QGU19" s="344"/>
      <c r="QGV19" s="344"/>
      <c r="QGW19" s="344"/>
      <c r="QGX19" s="344"/>
      <c r="QGY19" s="344"/>
      <c r="QGZ19" s="344"/>
      <c r="QHA19" s="344"/>
      <c r="QHB19" s="344"/>
      <c r="QHC19" s="344"/>
      <c r="QHD19" s="344"/>
      <c r="QHE19" s="344"/>
      <c r="QHF19" s="344"/>
      <c r="QHG19" s="344"/>
      <c r="QHH19" s="344"/>
      <c r="QHI19" s="344"/>
      <c r="QHJ19" s="344"/>
      <c r="QHK19" s="344"/>
      <c r="QHL19" s="344"/>
      <c r="QHM19" s="344"/>
      <c r="QHN19" s="344"/>
      <c r="QHO19" s="344"/>
      <c r="QHP19" s="344"/>
      <c r="QHQ19" s="344"/>
      <c r="QHR19" s="344"/>
      <c r="QHS19" s="344"/>
      <c r="QHT19" s="344"/>
      <c r="QHU19" s="344"/>
      <c r="QHV19" s="344"/>
      <c r="QHW19" s="344"/>
      <c r="QHX19" s="344"/>
      <c r="QHY19" s="344"/>
      <c r="QHZ19" s="344"/>
      <c r="QIA19" s="344"/>
      <c r="QIB19" s="344"/>
      <c r="QIC19" s="344"/>
      <c r="QID19" s="344"/>
      <c r="QIE19" s="344"/>
      <c r="QIF19" s="344"/>
      <c r="QIG19" s="344"/>
      <c r="QIH19" s="344"/>
      <c r="QII19" s="344"/>
      <c r="QIJ19" s="344"/>
      <c r="QIK19" s="344"/>
      <c r="QIL19" s="344"/>
      <c r="QIM19" s="344"/>
      <c r="QIN19" s="344"/>
      <c r="QIO19" s="344"/>
      <c r="QIP19" s="344"/>
      <c r="QIQ19" s="344"/>
      <c r="QIR19" s="344"/>
      <c r="QIS19" s="344"/>
      <c r="QIT19" s="344"/>
      <c r="QIU19" s="344"/>
      <c r="QIV19" s="344"/>
      <c r="QIW19" s="344"/>
      <c r="QIX19" s="344"/>
      <c r="QIY19" s="344"/>
      <c r="QIZ19" s="344"/>
      <c r="QJA19" s="344"/>
      <c r="QJB19" s="344"/>
      <c r="QJC19" s="344"/>
      <c r="QJD19" s="344"/>
      <c r="QJE19" s="344"/>
      <c r="QJF19" s="344"/>
      <c r="QJG19" s="344"/>
      <c r="QJH19" s="344"/>
      <c r="QJI19" s="344"/>
      <c r="QJJ19" s="344"/>
      <c r="QJK19" s="344"/>
      <c r="QJL19" s="344"/>
      <c r="QJM19" s="344"/>
      <c r="QJN19" s="344"/>
      <c r="QJO19" s="344"/>
      <c r="QJP19" s="344"/>
      <c r="QJQ19" s="344"/>
      <c r="QJR19" s="344"/>
      <c r="QJS19" s="344"/>
      <c r="QJT19" s="344"/>
      <c r="QJU19" s="344"/>
      <c r="QJV19" s="344"/>
      <c r="QJW19" s="344"/>
      <c r="QJX19" s="344"/>
      <c r="QJY19" s="344"/>
      <c r="QJZ19" s="344"/>
      <c r="QKA19" s="344"/>
      <c r="QKB19" s="344"/>
      <c r="QKC19" s="344"/>
      <c r="QKD19" s="344"/>
      <c r="QKE19" s="344"/>
      <c r="QKF19" s="344"/>
      <c r="QKG19" s="344"/>
      <c r="QKH19" s="344"/>
      <c r="QKI19" s="344"/>
      <c r="QKJ19" s="344"/>
      <c r="QKK19" s="344"/>
      <c r="QKL19" s="344"/>
      <c r="QKM19" s="344"/>
      <c r="QKN19" s="344"/>
      <c r="QKO19" s="344"/>
      <c r="QKP19" s="344"/>
      <c r="QKQ19" s="344"/>
      <c r="QKR19" s="344"/>
      <c r="QKS19" s="344"/>
      <c r="QKT19" s="344"/>
      <c r="QKU19" s="344"/>
      <c r="QKV19" s="344"/>
      <c r="QKW19" s="344"/>
      <c r="QKX19" s="344"/>
      <c r="QKY19" s="344"/>
      <c r="QKZ19" s="344"/>
      <c r="QLA19" s="344"/>
      <c r="QLB19" s="344"/>
      <c r="QLC19" s="344"/>
      <c r="QLD19" s="344"/>
      <c r="QLE19" s="344"/>
      <c r="QLF19" s="344"/>
      <c r="QLG19" s="344"/>
      <c r="QLH19" s="344"/>
      <c r="QLI19" s="344"/>
      <c r="QLJ19" s="344"/>
      <c r="QLK19" s="344"/>
      <c r="QLL19" s="344"/>
      <c r="QLM19" s="344"/>
      <c r="QLN19" s="344"/>
      <c r="QLO19" s="344"/>
      <c r="QLP19" s="344"/>
      <c r="QLQ19" s="344"/>
      <c r="QLR19" s="344"/>
      <c r="QLS19" s="344"/>
      <c r="QLT19" s="344"/>
      <c r="QLU19" s="344"/>
      <c r="QLV19" s="344"/>
      <c r="QLW19" s="344"/>
      <c r="QLX19" s="344"/>
      <c r="QLY19" s="344"/>
      <c r="QLZ19" s="344"/>
      <c r="QMA19" s="344"/>
      <c r="QMB19" s="344"/>
      <c r="QMC19" s="344"/>
      <c r="QMD19" s="344"/>
      <c r="QME19" s="344"/>
      <c r="QMF19" s="344"/>
      <c r="QMG19" s="344"/>
      <c r="QMH19" s="344"/>
      <c r="QMI19" s="344"/>
      <c r="QMJ19" s="344"/>
      <c r="QMK19" s="344"/>
      <c r="QML19" s="344"/>
      <c r="QMM19" s="344"/>
      <c r="QMN19" s="344"/>
      <c r="QMO19" s="344"/>
      <c r="QMP19" s="344"/>
      <c r="QMQ19" s="344"/>
      <c r="QMR19" s="344"/>
      <c r="QMS19" s="344"/>
      <c r="QMT19" s="344"/>
      <c r="QMU19" s="344"/>
      <c r="QMV19" s="344"/>
      <c r="QMW19" s="344"/>
      <c r="QMX19" s="344"/>
      <c r="QMY19" s="344"/>
      <c r="QMZ19" s="344"/>
      <c r="QNA19" s="344"/>
      <c r="QNB19" s="344"/>
      <c r="QNC19" s="344"/>
      <c r="QND19" s="344"/>
      <c r="QNE19" s="344"/>
      <c r="QNF19" s="344"/>
      <c r="QNG19" s="344"/>
      <c r="QNH19" s="344"/>
      <c r="QNI19" s="344"/>
      <c r="QNJ19" s="344"/>
      <c r="QNK19" s="344"/>
      <c r="QNL19" s="344"/>
      <c r="QNM19" s="344"/>
      <c r="QNN19" s="344"/>
      <c r="QNO19" s="344"/>
      <c r="QNP19" s="344"/>
      <c r="QNQ19" s="344"/>
      <c r="QNR19" s="344"/>
      <c r="QNS19" s="344"/>
      <c r="QNT19" s="344"/>
      <c r="QNU19" s="344"/>
      <c r="QNV19" s="344"/>
      <c r="QNW19" s="344"/>
      <c r="QNX19" s="344"/>
      <c r="QNY19" s="344"/>
      <c r="QNZ19" s="344"/>
      <c r="QOA19" s="344"/>
      <c r="QOB19" s="344"/>
      <c r="QOC19" s="344"/>
      <c r="QOD19" s="344"/>
      <c r="QOE19" s="344"/>
      <c r="QOF19" s="344"/>
      <c r="QOG19" s="344"/>
      <c r="QOH19" s="344"/>
      <c r="QOI19" s="344"/>
      <c r="QOJ19" s="344"/>
      <c r="QOK19" s="344"/>
      <c r="QOL19" s="344"/>
      <c r="QOM19" s="344"/>
      <c r="QON19" s="344"/>
      <c r="QOO19" s="344"/>
      <c r="QOP19" s="344"/>
      <c r="QOQ19" s="344"/>
      <c r="QOR19" s="344"/>
      <c r="QOS19" s="344"/>
      <c r="QOT19" s="344"/>
      <c r="QOU19" s="344"/>
      <c r="QOV19" s="344"/>
      <c r="QOW19" s="344"/>
      <c r="QOX19" s="344"/>
      <c r="QOY19" s="344"/>
      <c r="QOZ19" s="344"/>
      <c r="QPA19" s="344"/>
      <c r="QPB19" s="344"/>
      <c r="QPC19" s="344"/>
      <c r="QPD19" s="344"/>
      <c r="QPE19" s="344"/>
      <c r="QPF19" s="344"/>
      <c r="QPG19" s="344"/>
      <c r="QPH19" s="344"/>
      <c r="QPI19" s="344"/>
      <c r="QPJ19" s="344"/>
      <c r="QPK19" s="344"/>
      <c r="QPL19" s="344"/>
      <c r="QPM19" s="344"/>
      <c r="QPN19" s="344"/>
      <c r="QPO19" s="344"/>
      <c r="QPP19" s="344"/>
      <c r="QPQ19" s="344"/>
      <c r="QPR19" s="344"/>
      <c r="QPS19" s="344"/>
      <c r="QPT19" s="344"/>
      <c r="QPU19" s="344"/>
      <c r="QPV19" s="344"/>
      <c r="QPW19" s="344"/>
      <c r="QPX19" s="344"/>
      <c r="QPY19" s="344"/>
      <c r="QPZ19" s="344"/>
      <c r="QQA19" s="344"/>
      <c r="QQB19" s="344"/>
      <c r="QQC19" s="344"/>
      <c r="QQD19" s="344"/>
      <c r="QQE19" s="344"/>
      <c r="QQF19" s="344"/>
      <c r="QQG19" s="344"/>
      <c r="QQH19" s="344"/>
      <c r="QQI19" s="344"/>
      <c r="QQJ19" s="344"/>
      <c r="QQK19" s="344"/>
      <c r="QQL19" s="344"/>
      <c r="QQM19" s="344"/>
      <c r="QQN19" s="344"/>
      <c r="QQO19" s="344"/>
      <c r="QQP19" s="344"/>
      <c r="QQQ19" s="344"/>
      <c r="QQR19" s="344"/>
      <c r="QQS19" s="344"/>
      <c r="QQT19" s="344"/>
      <c r="QQU19" s="344"/>
      <c r="QQV19" s="344"/>
      <c r="QQW19" s="344"/>
      <c r="QQX19" s="344"/>
      <c r="QQY19" s="344"/>
      <c r="QQZ19" s="344"/>
      <c r="QRA19" s="344"/>
      <c r="QRB19" s="344"/>
      <c r="QRC19" s="344"/>
      <c r="QRD19" s="344"/>
      <c r="QRE19" s="344"/>
      <c r="QRF19" s="344"/>
      <c r="QRG19" s="344"/>
      <c r="QRH19" s="344"/>
      <c r="QRI19" s="344"/>
      <c r="QRJ19" s="344"/>
      <c r="QRK19" s="344"/>
      <c r="QRL19" s="344"/>
      <c r="QRM19" s="344"/>
      <c r="QRN19" s="344"/>
      <c r="QRO19" s="344"/>
      <c r="QRP19" s="344"/>
      <c r="QRQ19" s="344"/>
      <c r="QRR19" s="344"/>
      <c r="QRS19" s="344"/>
      <c r="QRT19" s="344"/>
      <c r="QRU19" s="344"/>
      <c r="QRV19" s="344"/>
      <c r="QRW19" s="344"/>
      <c r="QRX19" s="344"/>
      <c r="QRY19" s="344"/>
      <c r="QRZ19" s="344"/>
      <c r="QSA19" s="344"/>
      <c r="QSB19" s="344"/>
      <c r="QSC19" s="344"/>
      <c r="QSD19" s="344"/>
      <c r="QSE19" s="344"/>
      <c r="QSF19" s="344"/>
      <c r="QSG19" s="344"/>
      <c r="QSH19" s="344"/>
      <c r="QSI19" s="344"/>
      <c r="QSJ19" s="344"/>
      <c r="QSK19" s="344"/>
      <c r="QSL19" s="344"/>
      <c r="QSM19" s="344"/>
      <c r="QSN19" s="344"/>
      <c r="QSO19" s="344"/>
      <c r="QSP19" s="344"/>
      <c r="QSQ19" s="344"/>
      <c r="QSR19" s="344"/>
      <c r="QSS19" s="344"/>
      <c r="QST19" s="344"/>
      <c r="QSU19" s="344"/>
      <c r="QSV19" s="344"/>
      <c r="QSW19" s="344"/>
      <c r="QSX19" s="344"/>
      <c r="QSY19" s="344"/>
      <c r="QSZ19" s="344"/>
      <c r="QTA19" s="344"/>
      <c r="QTB19" s="344"/>
      <c r="QTC19" s="344"/>
      <c r="QTD19" s="344"/>
      <c r="QTE19" s="344"/>
      <c r="QTF19" s="344"/>
      <c r="QTG19" s="344"/>
      <c r="QTH19" s="344"/>
      <c r="QTI19" s="344"/>
      <c r="QTJ19" s="344"/>
      <c r="QTK19" s="344"/>
      <c r="QTL19" s="344"/>
      <c r="QTM19" s="344"/>
      <c r="QTN19" s="344"/>
      <c r="QTO19" s="344"/>
      <c r="QTP19" s="344"/>
      <c r="QTQ19" s="344"/>
      <c r="QTR19" s="344"/>
      <c r="QTS19" s="344"/>
      <c r="QTT19" s="344"/>
      <c r="QTU19" s="344"/>
      <c r="QTV19" s="344"/>
      <c r="QTW19" s="344"/>
      <c r="QTX19" s="344"/>
      <c r="QTY19" s="344"/>
      <c r="QTZ19" s="344"/>
      <c r="QUA19" s="344"/>
      <c r="QUB19" s="344"/>
      <c r="QUC19" s="344"/>
      <c r="QUD19" s="344"/>
      <c r="QUE19" s="344"/>
      <c r="QUF19" s="344"/>
      <c r="QUG19" s="344"/>
      <c r="QUH19" s="344"/>
      <c r="QUI19" s="344"/>
      <c r="QUJ19" s="344"/>
      <c r="QUK19" s="344"/>
      <c r="QUL19" s="344"/>
      <c r="QUM19" s="344"/>
      <c r="QUN19" s="344"/>
      <c r="QUO19" s="344"/>
      <c r="QUP19" s="344"/>
      <c r="QUQ19" s="344"/>
      <c r="QUR19" s="344"/>
      <c r="QUS19" s="344"/>
      <c r="QUT19" s="344"/>
      <c r="QUU19" s="344"/>
      <c r="QUV19" s="344"/>
      <c r="QUW19" s="344"/>
      <c r="QUX19" s="344"/>
      <c r="QUY19" s="344"/>
      <c r="QUZ19" s="344"/>
      <c r="QVA19" s="344"/>
      <c r="QVB19" s="344"/>
      <c r="QVC19" s="344"/>
      <c r="QVD19" s="344"/>
      <c r="QVE19" s="344"/>
      <c r="QVF19" s="344"/>
      <c r="QVG19" s="344"/>
      <c r="QVH19" s="344"/>
      <c r="QVI19" s="344"/>
      <c r="QVJ19" s="344"/>
      <c r="QVK19" s="344"/>
      <c r="QVL19" s="344"/>
      <c r="QVM19" s="344"/>
      <c r="QVN19" s="344"/>
      <c r="QVO19" s="344"/>
      <c r="QVP19" s="344"/>
      <c r="QVQ19" s="344"/>
      <c r="QVR19" s="344"/>
      <c r="QVS19" s="344"/>
      <c r="QVT19" s="344"/>
      <c r="QVU19" s="344"/>
      <c r="QVV19" s="344"/>
      <c r="QVW19" s="344"/>
      <c r="QVX19" s="344"/>
      <c r="QVY19" s="344"/>
      <c r="QVZ19" s="344"/>
      <c r="QWA19" s="344"/>
      <c r="QWB19" s="344"/>
      <c r="QWC19" s="344"/>
      <c r="QWD19" s="344"/>
      <c r="QWE19" s="344"/>
      <c r="QWF19" s="344"/>
      <c r="QWG19" s="344"/>
      <c r="QWH19" s="344"/>
      <c r="QWI19" s="344"/>
      <c r="QWJ19" s="344"/>
      <c r="QWK19" s="344"/>
      <c r="QWL19" s="344"/>
      <c r="QWM19" s="344"/>
      <c r="QWN19" s="344"/>
      <c r="QWO19" s="344"/>
      <c r="QWP19" s="344"/>
      <c r="QWQ19" s="344"/>
      <c r="QWR19" s="344"/>
      <c r="QWS19" s="344"/>
      <c r="QWT19" s="344"/>
      <c r="QWU19" s="344"/>
      <c r="QWV19" s="344"/>
      <c r="QWW19" s="344"/>
      <c r="QWX19" s="344"/>
      <c r="QWY19" s="344"/>
      <c r="QWZ19" s="344"/>
      <c r="QXA19" s="344"/>
      <c r="QXB19" s="344"/>
      <c r="QXC19" s="344"/>
      <c r="QXD19" s="344"/>
      <c r="QXE19" s="344"/>
      <c r="QXF19" s="344"/>
      <c r="QXG19" s="344"/>
      <c r="QXH19" s="344"/>
      <c r="QXI19" s="344"/>
      <c r="QXJ19" s="344"/>
      <c r="QXK19" s="344"/>
      <c r="QXL19" s="344"/>
      <c r="QXM19" s="344"/>
      <c r="QXN19" s="344"/>
      <c r="QXO19" s="344"/>
      <c r="QXP19" s="344"/>
      <c r="QXQ19" s="344"/>
      <c r="QXR19" s="344"/>
      <c r="QXS19" s="344"/>
      <c r="QXT19" s="344"/>
      <c r="QXU19" s="344"/>
      <c r="QXV19" s="344"/>
      <c r="QXW19" s="344"/>
      <c r="QXX19" s="344"/>
      <c r="QXY19" s="344"/>
      <c r="QXZ19" s="344"/>
      <c r="QYA19" s="344"/>
      <c r="QYB19" s="344"/>
      <c r="QYC19" s="344"/>
      <c r="QYD19" s="344"/>
      <c r="QYE19" s="344"/>
      <c r="QYF19" s="344"/>
      <c r="QYG19" s="344"/>
      <c r="QYH19" s="344"/>
      <c r="QYI19" s="344"/>
      <c r="QYJ19" s="344"/>
      <c r="QYK19" s="344"/>
      <c r="QYL19" s="344"/>
      <c r="QYM19" s="344"/>
      <c r="QYN19" s="344"/>
      <c r="QYO19" s="344"/>
      <c r="QYP19" s="344"/>
      <c r="QYQ19" s="344"/>
      <c r="QYR19" s="344"/>
      <c r="QYS19" s="344"/>
      <c r="QYT19" s="344"/>
      <c r="QYU19" s="344"/>
      <c r="QYV19" s="344"/>
      <c r="QYW19" s="344"/>
      <c r="QYX19" s="344"/>
      <c r="QYY19" s="344"/>
      <c r="QYZ19" s="344"/>
      <c r="QZA19" s="344"/>
      <c r="QZB19" s="344"/>
      <c r="QZC19" s="344"/>
      <c r="QZD19" s="344"/>
      <c r="QZE19" s="344"/>
      <c r="QZF19" s="344"/>
      <c r="QZG19" s="344"/>
      <c r="QZH19" s="344"/>
      <c r="QZI19" s="344"/>
      <c r="QZJ19" s="344"/>
      <c r="QZK19" s="344"/>
      <c r="QZL19" s="344"/>
      <c r="QZM19" s="344"/>
      <c r="QZN19" s="344"/>
      <c r="QZO19" s="344"/>
      <c r="QZP19" s="344"/>
      <c r="QZQ19" s="344"/>
      <c r="QZR19" s="344"/>
      <c r="QZS19" s="344"/>
      <c r="QZT19" s="344"/>
      <c r="QZU19" s="344"/>
      <c r="QZV19" s="344"/>
      <c r="QZW19" s="344"/>
      <c r="QZX19" s="344"/>
      <c r="QZY19" s="344"/>
      <c r="QZZ19" s="344"/>
      <c r="RAA19" s="344"/>
      <c r="RAB19" s="344"/>
      <c r="RAC19" s="344"/>
      <c r="RAD19" s="344"/>
      <c r="RAE19" s="344"/>
      <c r="RAF19" s="344"/>
      <c r="RAG19" s="344"/>
      <c r="RAH19" s="344"/>
      <c r="RAI19" s="344"/>
      <c r="RAJ19" s="344"/>
      <c r="RAK19" s="344"/>
      <c r="RAL19" s="344"/>
      <c r="RAM19" s="344"/>
      <c r="RAN19" s="344"/>
      <c r="RAO19" s="344"/>
      <c r="RAP19" s="344"/>
      <c r="RAQ19" s="344"/>
      <c r="RAR19" s="344"/>
      <c r="RAS19" s="344"/>
      <c r="RAT19" s="344"/>
      <c r="RAU19" s="344"/>
      <c r="RAV19" s="344"/>
      <c r="RAW19" s="344"/>
      <c r="RAX19" s="344"/>
      <c r="RAY19" s="344"/>
      <c r="RAZ19" s="344"/>
      <c r="RBA19" s="344"/>
      <c r="RBB19" s="344"/>
      <c r="RBC19" s="344"/>
      <c r="RBD19" s="344"/>
      <c r="RBE19" s="344"/>
      <c r="RBF19" s="344"/>
      <c r="RBG19" s="344"/>
      <c r="RBH19" s="344"/>
      <c r="RBI19" s="344"/>
      <c r="RBJ19" s="344"/>
      <c r="RBK19" s="344"/>
      <c r="RBL19" s="344"/>
      <c r="RBM19" s="344"/>
      <c r="RBN19" s="344"/>
      <c r="RBO19" s="344"/>
      <c r="RBP19" s="344"/>
      <c r="RBQ19" s="344"/>
      <c r="RBR19" s="344"/>
      <c r="RBS19" s="344"/>
      <c r="RBT19" s="344"/>
      <c r="RBU19" s="344"/>
      <c r="RBV19" s="344"/>
      <c r="RBW19" s="344"/>
      <c r="RBX19" s="344"/>
      <c r="RBY19" s="344"/>
      <c r="RBZ19" s="344"/>
      <c r="RCA19" s="344"/>
      <c r="RCB19" s="344"/>
      <c r="RCC19" s="344"/>
      <c r="RCD19" s="344"/>
      <c r="RCE19" s="344"/>
      <c r="RCF19" s="344"/>
      <c r="RCG19" s="344"/>
      <c r="RCH19" s="344"/>
      <c r="RCI19" s="344"/>
      <c r="RCJ19" s="344"/>
      <c r="RCK19" s="344"/>
      <c r="RCL19" s="344"/>
      <c r="RCM19" s="344"/>
      <c r="RCN19" s="344"/>
      <c r="RCO19" s="344"/>
      <c r="RCP19" s="344"/>
      <c r="RCQ19" s="344"/>
      <c r="RCR19" s="344"/>
      <c r="RCS19" s="344"/>
      <c r="RCT19" s="344"/>
      <c r="RCU19" s="344"/>
      <c r="RCV19" s="344"/>
      <c r="RCW19" s="344"/>
      <c r="RCX19" s="344"/>
      <c r="RCY19" s="344"/>
      <c r="RCZ19" s="344"/>
      <c r="RDA19" s="344"/>
      <c r="RDB19" s="344"/>
      <c r="RDC19" s="344"/>
      <c r="RDD19" s="344"/>
      <c r="RDE19" s="344"/>
      <c r="RDF19" s="344"/>
      <c r="RDG19" s="344"/>
      <c r="RDH19" s="344"/>
      <c r="RDI19" s="344"/>
      <c r="RDJ19" s="344"/>
      <c r="RDK19" s="344"/>
      <c r="RDL19" s="344"/>
      <c r="RDM19" s="344"/>
      <c r="RDN19" s="344"/>
      <c r="RDO19" s="344"/>
      <c r="RDP19" s="344"/>
      <c r="RDQ19" s="344"/>
      <c r="RDR19" s="344"/>
      <c r="RDS19" s="344"/>
      <c r="RDT19" s="344"/>
      <c r="RDU19" s="344"/>
      <c r="RDV19" s="344"/>
      <c r="RDW19" s="344"/>
      <c r="RDX19" s="344"/>
      <c r="RDY19" s="344"/>
      <c r="RDZ19" s="344"/>
      <c r="REA19" s="344"/>
      <c r="REB19" s="344"/>
      <c r="REC19" s="344"/>
      <c r="RED19" s="344"/>
      <c r="REE19" s="344"/>
      <c r="REF19" s="344"/>
      <c r="REG19" s="344"/>
      <c r="REH19" s="344"/>
      <c r="REI19" s="344"/>
      <c r="REJ19" s="344"/>
      <c r="REK19" s="344"/>
      <c r="REL19" s="344"/>
      <c r="REM19" s="344"/>
      <c r="REN19" s="344"/>
      <c r="REO19" s="344"/>
      <c r="REP19" s="344"/>
      <c r="REQ19" s="344"/>
      <c r="RER19" s="344"/>
      <c r="RES19" s="344"/>
      <c r="RET19" s="344"/>
      <c r="REU19" s="344"/>
      <c r="REV19" s="344"/>
      <c r="REW19" s="344"/>
      <c r="REX19" s="344"/>
      <c r="REY19" s="344"/>
      <c r="REZ19" s="344"/>
      <c r="RFA19" s="344"/>
      <c r="RFB19" s="344"/>
      <c r="RFC19" s="344"/>
      <c r="RFD19" s="344"/>
      <c r="RFE19" s="344"/>
      <c r="RFF19" s="344"/>
      <c r="RFG19" s="344"/>
      <c r="RFH19" s="344"/>
      <c r="RFI19" s="344"/>
      <c r="RFJ19" s="344"/>
      <c r="RFK19" s="344"/>
      <c r="RFL19" s="344"/>
      <c r="RFM19" s="344"/>
      <c r="RFN19" s="344"/>
      <c r="RFO19" s="344"/>
      <c r="RFP19" s="344"/>
      <c r="RFQ19" s="344"/>
      <c r="RFR19" s="344"/>
      <c r="RFS19" s="344"/>
      <c r="RFT19" s="344"/>
      <c r="RFU19" s="344"/>
      <c r="RFV19" s="344"/>
      <c r="RFW19" s="344"/>
      <c r="RFX19" s="344"/>
      <c r="RFY19" s="344"/>
      <c r="RFZ19" s="344"/>
      <c r="RGA19" s="344"/>
      <c r="RGB19" s="344"/>
      <c r="RGC19" s="344"/>
      <c r="RGD19" s="344"/>
      <c r="RGE19" s="344"/>
      <c r="RGF19" s="344"/>
      <c r="RGG19" s="344"/>
      <c r="RGH19" s="344"/>
      <c r="RGI19" s="344"/>
      <c r="RGJ19" s="344"/>
      <c r="RGK19" s="344"/>
      <c r="RGL19" s="344"/>
      <c r="RGM19" s="344"/>
      <c r="RGN19" s="344"/>
      <c r="RGO19" s="344"/>
      <c r="RGP19" s="344"/>
      <c r="RGQ19" s="344"/>
      <c r="RGR19" s="344"/>
      <c r="RGS19" s="344"/>
      <c r="RGT19" s="344"/>
      <c r="RGU19" s="344"/>
      <c r="RGV19" s="344"/>
      <c r="RGW19" s="344"/>
      <c r="RGX19" s="344"/>
      <c r="RGY19" s="344"/>
      <c r="RGZ19" s="344"/>
      <c r="RHA19" s="344"/>
      <c r="RHB19" s="344"/>
      <c r="RHC19" s="344"/>
      <c r="RHD19" s="344"/>
      <c r="RHE19" s="344"/>
      <c r="RHF19" s="344"/>
      <c r="RHG19" s="344"/>
      <c r="RHH19" s="344"/>
      <c r="RHI19" s="344"/>
      <c r="RHJ19" s="344"/>
      <c r="RHK19" s="344"/>
      <c r="RHL19" s="344"/>
      <c r="RHM19" s="344"/>
      <c r="RHN19" s="344"/>
      <c r="RHO19" s="344"/>
      <c r="RHP19" s="344"/>
      <c r="RHQ19" s="344"/>
      <c r="RHR19" s="344"/>
      <c r="RHS19" s="344"/>
      <c r="RHT19" s="344"/>
      <c r="RHU19" s="344"/>
      <c r="RHV19" s="344"/>
      <c r="RHW19" s="344"/>
      <c r="RHX19" s="344"/>
      <c r="RHY19" s="344"/>
      <c r="RHZ19" s="344"/>
      <c r="RIA19" s="344"/>
      <c r="RIB19" s="344"/>
      <c r="RIC19" s="344"/>
      <c r="RID19" s="344"/>
      <c r="RIE19" s="344"/>
      <c r="RIF19" s="344"/>
      <c r="RIG19" s="344"/>
      <c r="RIH19" s="344"/>
      <c r="RII19" s="344"/>
      <c r="RIJ19" s="344"/>
      <c r="RIK19" s="344"/>
      <c r="RIL19" s="344"/>
      <c r="RIM19" s="344"/>
      <c r="RIN19" s="344"/>
      <c r="RIO19" s="344"/>
      <c r="RIP19" s="344"/>
      <c r="RIQ19" s="344"/>
      <c r="RIR19" s="344"/>
      <c r="RIS19" s="344"/>
      <c r="RIT19" s="344"/>
      <c r="RIU19" s="344"/>
      <c r="RIV19" s="344"/>
      <c r="RIW19" s="344"/>
      <c r="RIX19" s="344"/>
      <c r="RIY19" s="344"/>
      <c r="RIZ19" s="344"/>
      <c r="RJA19" s="344"/>
      <c r="RJB19" s="344"/>
      <c r="RJC19" s="344"/>
      <c r="RJD19" s="344"/>
      <c r="RJE19" s="344"/>
      <c r="RJF19" s="344"/>
      <c r="RJG19" s="344"/>
      <c r="RJH19" s="344"/>
      <c r="RJI19" s="344"/>
      <c r="RJJ19" s="344"/>
      <c r="RJK19" s="344"/>
      <c r="RJL19" s="344"/>
      <c r="RJM19" s="344"/>
      <c r="RJN19" s="344"/>
      <c r="RJO19" s="344"/>
      <c r="RJP19" s="344"/>
      <c r="RJQ19" s="344"/>
      <c r="RJR19" s="344"/>
      <c r="RJS19" s="344"/>
      <c r="RJT19" s="344"/>
      <c r="RJU19" s="344"/>
      <c r="RJV19" s="344"/>
      <c r="RJW19" s="344"/>
      <c r="RJX19" s="344"/>
      <c r="RJY19" s="344"/>
      <c r="RJZ19" s="344"/>
      <c r="RKA19" s="344"/>
      <c r="RKB19" s="344"/>
      <c r="RKC19" s="344"/>
      <c r="RKD19" s="344"/>
      <c r="RKE19" s="344"/>
      <c r="RKF19" s="344"/>
      <c r="RKG19" s="344"/>
      <c r="RKH19" s="344"/>
      <c r="RKI19" s="344"/>
      <c r="RKJ19" s="344"/>
      <c r="RKK19" s="344"/>
      <c r="RKL19" s="344"/>
      <c r="RKM19" s="344"/>
      <c r="RKN19" s="344"/>
      <c r="RKO19" s="344"/>
      <c r="RKP19" s="344"/>
      <c r="RKQ19" s="344"/>
      <c r="RKR19" s="344"/>
      <c r="RKS19" s="344"/>
      <c r="RKT19" s="344"/>
      <c r="RKU19" s="344"/>
      <c r="RKV19" s="344"/>
      <c r="RKW19" s="344"/>
      <c r="RKX19" s="344"/>
      <c r="RKY19" s="344"/>
      <c r="RKZ19" s="344"/>
      <c r="RLA19" s="344"/>
      <c r="RLB19" s="344"/>
      <c r="RLC19" s="344"/>
      <c r="RLD19" s="344"/>
      <c r="RLE19" s="344"/>
      <c r="RLF19" s="344"/>
      <c r="RLG19" s="344"/>
      <c r="RLH19" s="344"/>
      <c r="RLI19" s="344"/>
      <c r="RLJ19" s="344"/>
      <c r="RLK19" s="344"/>
      <c r="RLL19" s="344"/>
      <c r="RLM19" s="344"/>
      <c r="RLN19" s="344"/>
      <c r="RLO19" s="344"/>
      <c r="RLP19" s="344"/>
      <c r="RLQ19" s="344"/>
      <c r="RLR19" s="344"/>
      <c r="RLS19" s="344"/>
      <c r="RLT19" s="344"/>
      <c r="RLU19" s="344"/>
      <c r="RLV19" s="344"/>
      <c r="RLW19" s="344"/>
      <c r="RLX19" s="344"/>
      <c r="RLY19" s="344"/>
      <c r="RLZ19" s="344"/>
      <c r="RMA19" s="344"/>
      <c r="RMB19" s="344"/>
      <c r="RMC19" s="344"/>
      <c r="RMD19" s="344"/>
      <c r="RME19" s="344"/>
      <c r="RMF19" s="344"/>
      <c r="RMG19" s="344"/>
      <c r="RMH19" s="344"/>
      <c r="RMI19" s="344"/>
      <c r="RMJ19" s="344"/>
      <c r="RMK19" s="344"/>
      <c r="RML19" s="344"/>
      <c r="RMM19" s="344"/>
      <c r="RMN19" s="344"/>
      <c r="RMO19" s="344"/>
      <c r="RMP19" s="344"/>
      <c r="RMQ19" s="344"/>
      <c r="RMR19" s="344"/>
      <c r="RMS19" s="344"/>
      <c r="RMT19" s="344"/>
      <c r="RMU19" s="344"/>
      <c r="RMV19" s="344"/>
      <c r="RMW19" s="344"/>
      <c r="RMX19" s="344"/>
      <c r="RMY19" s="344"/>
      <c r="RMZ19" s="344"/>
      <c r="RNA19" s="344"/>
      <c r="RNB19" s="344"/>
      <c r="RNC19" s="344"/>
      <c r="RND19" s="344"/>
      <c r="RNE19" s="344"/>
      <c r="RNF19" s="344"/>
      <c r="RNG19" s="344"/>
      <c r="RNH19" s="344"/>
      <c r="RNI19" s="344"/>
      <c r="RNJ19" s="344"/>
      <c r="RNK19" s="344"/>
      <c r="RNL19" s="344"/>
      <c r="RNM19" s="344"/>
      <c r="RNN19" s="344"/>
      <c r="RNO19" s="344"/>
      <c r="RNP19" s="344"/>
      <c r="RNQ19" s="344"/>
      <c r="RNR19" s="344"/>
      <c r="RNS19" s="344"/>
      <c r="RNT19" s="344"/>
      <c r="RNU19" s="344"/>
      <c r="RNV19" s="344"/>
      <c r="RNW19" s="344"/>
      <c r="RNX19" s="344"/>
      <c r="RNY19" s="344"/>
      <c r="RNZ19" s="344"/>
      <c r="ROA19" s="344"/>
      <c r="ROB19" s="344"/>
      <c r="ROC19" s="344"/>
      <c r="ROD19" s="344"/>
      <c r="ROE19" s="344"/>
      <c r="ROF19" s="344"/>
      <c r="ROG19" s="344"/>
      <c r="ROH19" s="344"/>
      <c r="ROI19" s="344"/>
      <c r="ROJ19" s="344"/>
      <c r="ROK19" s="344"/>
      <c r="ROL19" s="344"/>
      <c r="ROM19" s="344"/>
      <c r="RON19" s="344"/>
      <c r="ROO19" s="344"/>
      <c r="ROP19" s="344"/>
      <c r="ROQ19" s="344"/>
      <c r="ROR19" s="344"/>
      <c r="ROS19" s="344"/>
      <c r="ROT19" s="344"/>
      <c r="ROU19" s="344"/>
      <c r="ROV19" s="344"/>
      <c r="ROW19" s="344"/>
      <c r="ROX19" s="344"/>
      <c r="ROY19" s="344"/>
      <c r="ROZ19" s="344"/>
      <c r="RPA19" s="344"/>
      <c r="RPB19" s="344"/>
      <c r="RPC19" s="344"/>
      <c r="RPD19" s="344"/>
      <c r="RPE19" s="344"/>
      <c r="RPF19" s="344"/>
      <c r="RPG19" s="344"/>
      <c r="RPH19" s="344"/>
      <c r="RPI19" s="344"/>
      <c r="RPJ19" s="344"/>
      <c r="RPK19" s="344"/>
      <c r="RPL19" s="344"/>
      <c r="RPM19" s="344"/>
      <c r="RPN19" s="344"/>
      <c r="RPO19" s="344"/>
      <c r="RPP19" s="344"/>
      <c r="RPQ19" s="344"/>
      <c r="RPR19" s="344"/>
      <c r="RPS19" s="344"/>
      <c r="RPT19" s="344"/>
      <c r="RPU19" s="344"/>
      <c r="RPV19" s="344"/>
      <c r="RPW19" s="344"/>
      <c r="RPX19" s="344"/>
      <c r="RPY19" s="344"/>
      <c r="RPZ19" s="344"/>
      <c r="RQA19" s="344"/>
      <c r="RQB19" s="344"/>
      <c r="RQC19" s="344"/>
      <c r="RQD19" s="344"/>
      <c r="RQE19" s="344"/>
      <c r="RQF19" s="344"/>
      <c r="RQG19" s="344"/>
      <c r="RQH19" s="344"/>
      <c r="RQI19" s="344"/>
      <c r="RQJ19" s="344"/>
      <c r="RQK19" s="344"/>
      <c r="RQL19" s="344"/>
      <c r="RQM19" s="344"/>
      <c r="RQN19" s="344"/>
      <c r="RQO19" s="344"/>
      <c r="RQP19" s="344"/>
      <c r="RQQ19" s="344"/>
      <c r="RQR19" s="344"/>
      <c r="RQS19" s="344"/>
      <c r="RQT19" s="344"/>
      <c r="RQU19" s="344"/>
      <c r="RQV19" s="344"/>
      <c r="RQW19" s="344"/>
      <c r="RQX19" s="344"/>
      <c r="RQY19" s="344"/>
      <c r="RQZ19" s="344"/>
      <c r="RRA19" s="344"/>
      <c r="RRB19" s="344"/>
      <c r="RRC19" s="344"/>
      <c r="RRD19" s="344"/>
      <c r="RRE19" s="344"/>
      <c r="RRF19" s="344"/>
      <c r="RRG19" s="344"/>
      <c r="RRH19" s="344"/>
      <c r="RRI19" s="344"/>
      <c r="RRJ19" s="344"/>
      <c r="RRK19" s="344"/>
      <c r="RRL19" s="344"/>
      <c r="RRM19" s="344"/>
      <c r="RRN19" s="344"/>
      <c r="RRO19" s="344"/>
      <c r="RRP19" s="344"/>
      <c r="RRQ19" s="344"/>
      <c r="RRR19" s="344"/>
      <c r="RRS19" s="344"/>
      <c r="RRT19" s="344"/>
      <c r="RRU19" s="344"/>
      <c r="RRV19" s="344"/>
      <c r="RRW19" s="344"/>
      <c r="RRX19" s="344"/>
      <c r="RRY19" s="344"/>
      <c r="RRZ19" s="344"/>
      <c r="RSA19" s="344"/>
      <c r="RSB19" s="344"/>
      <c r="RSC19" s="344"/>
      <c r="RSD19" s="344"/>
      <c r="RSE19" s="344"/>
      <c r="RSF19" s="344"/>
      <c r="RSG19" s="344"/>
      <c r="RSH19" s="344"/>
      <c r="RSI19" s="344"/>
      <c r="RSJ19" s="344"/>
      <c r="RSK19" s="344"/>
      <c r="RSL19" s="344"/>
      <c r="RSM19" s="344"/>
      <c r="RSN19" s="344"/>
      <c r="RSO19" s="344"/>
      <c r="RSP19" s="344"/>
      <c r="RSQ19" s="344"/>
      <c r="RSR19" s="344"/>
      <c r="RSS19" s="344"/>
      <c r="RST19" s="344"/>
      <c r="RSU19" s="344"/>
      <c r="RSV19" s="344"/>
      <c r="RSW19" s="344"/>
      <c r="RSX19" s="344"/>
      <c r="RSY19" s="344"/>
      <c r="RSZ19" s="344"/>
      <c r="RTA19" s="344"/>
      <c r="RTB19" s="344"/>
      <c r="RTC19" s="344"/>
      <c r="RTD19" s="344"/>
      <c r="RTE19" s="344"/>
      <c r="RTF19" s="344"/>
      <c r="RTG19" s="344"/>
      <c r="RTH19" s="344"/>
      <c r="RTI19" s="344"/>
      <c r="RTJ19" s="344"/>
      <c r="RTK19" s="344"/>
      <c r="RTL19" s="344"/>
      <c r="RTM19" s="344"/>
      <c r="RTN19" s="344"/>
      <c r="RTO19" s="344"/>
      <c r="RTP19" s="344"/>
      <c r="RTQ19" s="344"/>
      <c r="RTR19" s="344"/>
      <c r="RTS19" s="344"/>
      <c r="RTT19" s="344"/>
      <c r="RTU19" s="344"/>
      <c r="RTV19" s="344"/>
      <c r="RTW19" s="344"/>
      <c r="RTX19" s="344"/>
      <c r="RTY19" s="344"/>
      <c r="RTZ19" s="344"/>
      <c r="RUA19" s="344"/>
      <c r="RUB19" s="344"/>
      <c r="RUC19" s="344"/>
      <c r="RUD19" s="344"/>
      <c r="RUE19" s="344"/>
      <c r="RUF19" s="344"/>
      <c r="RUG19" s="344"/>
      <c r="RUH19" s="344"/>
      <c r="RUI19" s="344"/>
      <c r="RUJ19" s="344"/>
      <c r="RUK19" s="344"/>
      <c r="RUL19" s="344"/>
      <c r="RUM19" s="344"/>
      <c r="RUN19" s="344"/>
      <c r="RUO19" s="344"/>
      <c r="RUP19" s="344"/>
      <c r="RUQ19" s="344"/>
      <c r="RUR19" s="344"/>
      <c r="RUS19" s="344"/>
      <c r="RUT19" s="344"/>
      <c r="RUU19" s="344"/>
      <c r="RUV19" s="344"/>
      <c r="RUW19" s="344"/>
      <c r="RUX19" s="344"/>
      <c r="RUY19" s="344"/>
      <c r="RUZ19" s="344"/>
      <c r="RVA19" s="344"/>
      <c r="RVB19" s="344"/>
      <c r="RVC19" s="344"/>
      <c r="RVD19" s="344"/>
      <c r="RVE19" s="344"/>
      <c r="RVF19" s="344"/>
      <c r="RVG19" s="344"/>
      <c r="RVH19" s="344"/>
      <c r="RVI19" s="344"/>
      <c r="RVJ19" s="344"/>
      <c r="RVK19" s="344"/>
      <c r="RVL19" s="344"/>
      <c r="RVM19" s="344"/>
      <c r="RVN19" s="344"/>
      <c r="RVO19" s="344"/>
      <c r="RVP19" s="344"/>
      <c r="RVQ19" s="344"/>
      <c r="RVR19" s="344"/>
      <c r="RVS19" s="344"/>
      <c r="RVT19" s="344"/>
      <c r="RVU19" s="344"/>
      <c r="RVV19" s="344"/>
      <c r="RVW19" s="344"/>
      <c r="RVX19" s="344"/>
      <c r="RVY19" s="344"/>
      <c r="RVZ19" s="344"/>
      <c r="RWA19" s="344"/>
      <c r="RWB19" s="344"/>
      <c r="RWC19" s="344"/>
      <c r="RWD19" s="344"/>
      <c r="RWE19" s="344"/>
      <c r="RWF19" s="344"/>
      <c r="RWG19" s="344"/>
      <c r="RWH19" s="344"/>
      <c r="RWI19" s="344"/>
      <c r="RWJ19" s="344"/>
      <c r="RWK19" s="344"/>
      <c r="RWL19" s="344"/>
      <c r="RWM19" s="344"/>
      <c r="RWN19" s="344"/>
      <c r="RWO19" s="344"/>
      <c r="RWP19" s="344"/>
      <c r="RWQ19" s="344"/>
      <c r="RWR19" s="344"/>
      <c r="RWS19" s="344"/>
      <c r="RWT19" s="344"/>
      <c r="RWU19" s="344"/>
      <c r="RWV19" s="344"/>
      <c r="RWW19" s="344"/>
      <c r="RWX19" s="344"/>
      <c r="RWY19" s="344"/>
      <c r="RWZ19" s="344"/>
      <c r="RXA19" s="344"/>
      <c r="RXB19" s="344"/>
      <c r="RXC19" s="344"/>
      <c r="RXD19" s="344"/>
      <c r="RXE19" s="344"/>
      <c r="RXF19" s="344"/>
      <c r="RXG19" s="344"/>
      <c r="RXH19" s="344"/>
      <c r="RXI19" s="344"/>
      <c r="RXJ19" s="344"/>
      <c r="RXK19" s="344"/>
      <c r="RXL19" s="344"/>
      <c r="RXM19" s="344"/>
      <c r="RXN19" s="344"/>
      <c r="RXO19" s="344"/>
      <c r="RXP19" s="344"/>
      <c r="RXQ19" s="344"/>
      <c r="RXR19" s="344"/>
      <c r="RXS19" s="344"/>
      <c r="RXT19" s="344"/>
      <c r="RXU19" s="344"/>
      <c r="RXV19" s="344"/>
      <c r="RXW19" s="344"/>
      <c r="RXX19" s="344"/>
      <c r="RXY19" s="344"/>
      <c r="RXZ19" s="344"/>
      <c r="RYA19" s="344"/>
      <c r="RYB19" s="344"/>
      <c r="RYC19" s="344"/>
      <c r="RYD19" s="344"/>
      <c r="RYE19" s="344"/>
      <c r="RYF19" s="344"/>
      <c r="RYG19" s="344"/>
      <c r="RYH19" s="344"/>
      <c r="RYI19" s="344"/>
      <c r="RYJ19" s="344"/>
      <c r="RYK19" s="344"/>
      <c r="RYL19" s="344"/>
      <c r="RYM19" s="344"/>
      <c r="RYN19" s="344"/>
      <c r="RYO19" s="344"/>
      <c r="RYP19" s="344"/>
      <c r="RYQ19" s="344"/>
      <c r="RYR19" s="344"/>
      <c r="RYS19" s="344"/>
      <c r="RYT19" s="344"/>
      <c r="RYU19" s="344"/>
      <c r="RYV19" s="344"/>
      <c r="RYW19" s="344"/>
      <c r="RYX19" s="344"/>
      <c r="RYY19" s="344"/>
      <c r="RYZ19" s="344"/>
      <c r="RZA19" s="344"/>
      <c r="RZB19" s="344"/>
      <c r="RZC19" s="344"/>
      <c r="RZD19" s="344"/>
      <c r="RZE19" s="344"/>
      <c r="RZF19" s="344"/>
      <c r="RZG19" s="344"/>
      <c r="RZH19" s="344"/>
      <c r="RZI19" s="344"/>
      <c r="RZJ19" s="344"/>
      <c r="RZK19" s="344"/>
      <c r="RZL19" s="344"/>
      <c r="RZM19" s="344"/>
      <c r="RZN19" s="344"/>
      <c r="RZO19" s="344"/>
      <c r="RZP19" s="344"/>
      <c r="RZQ19" s="344"/>
      <c r="RZR19" s="344"/>
      <c r="RZS19" s="344"/>
      <c r="RZT19" s="344"/>
      <c r="RZU19" s="344"/>
      <c r="RZV19" s="344"/>
      <c r="RZW19" s="344"/>
      <c r="RZX19" s="344"/>
      <c r="RZY19" s="344"/>
      <c r="RZZ19" s="344"/>
      <c r="SAA19" s="344"/>
      <c r="SAB19" s="344"/>
      <c r="SAC19" s="344"/>
      <c r="SAD19" s="344"/>
      <c r="SAE19" s="344"/>
      <c r="SAF19" s="344"/>
      <c r="SAG19" s="344"/>
      <c r="SAH19" s="344"/>
      <c r="SAI19" s="344"/>
      <c r="SAJ19" s="344"/>
      <c r="SAK19" s="344"/>
      <c r="SAL19" s="344"/>
      <c r="SAM19" s="344"/>
      <c r="SAN19" s="344"/>
      <c r="SAO19" s="344"/>
      <c r="SAP19" s="344"/>
      <c r="SAQ19" s="344"/>
      <c r="SAR19" s="344"/>
      <c r="SAS19" s="344"/>
      <c r="SAT19" s="344"/>
      <c r="SAU19" s="344"/>
      <c r="SAV19" s="344"/>
      <c r="SAW19" s="344"/>
      <c r="SAX19" s="344"/>
      <c r="SAY19" s="344"/>
      <c r="SAZ19" s="344"/>
      <c r="SBA19" s="344"/>
      <c r="SBB19" s="344"/>
      <c r="SBC19" s="344"/>
      <c r="SBD19" s="344"/>
      <c r="SBE19" s="344"/>
      <c r="SBF19" s="344"/>
      <c r="SBG19" s="344"/>
      <c r="SBH19" s="344"/>
      <c r="SBI19" s="344"/>
      <c r="SBJ19" s="344"/>
      <c r="SBK19" s="344"/>
      <c r="SBL19" s="344"/>
      <c r="SBM19" s="344"/>
      <c r="SBN19" s="344"/>
      <c r="SBO19" s="344"/>
      <c r="SBP19" s="344"/>
      <c r="SBQ19" s="344"/>
      <c r="SBR19" s="344"/>
      <c r="SBS19" s="344"/>
      <c r="SBT19" s="344"/>
      <c r="SBU19" s="344"/>
      <c r="SBV19" s="344"/>
      <c r="SBW19" s="344"/>
      <c r="SBX19" s="344"/>
      <c r="SBY19" s="344"/>
      <c r="SBZ19" s="344"/>
      <c r="SCA19" s="344"/>
      <c r="SCB19" s="344"/>
      <c r="SCC19" s="344"/>
      <c r="SCD19" s="344"/>
      <c r="SCE19" s="344"/>
      <c r="SCF19" s="344"/>
      <c r="SCG19" s="344"/>
      <c r="SCH19" s="344"/>
      <c r="SCI19" s="344"/>
      <c r="SCJ19" s="344"/>
      <c r="SCK19" s="344"/>
      <c r="SCL19" s="344"/>
      <c r="SCM19" s="344"/>
      <c r="SCN19" s="344"/>
      <c r="SCO19" s="344"/>
      <c r="SCP19" s="344"/>
      <c r="SCQ19" s="344"/>
      <c r="SCR19" s="344"/>
      <c r="SCS19" s="344"/>
      <c r="SCT19" s="344"/>
      <c r="SCU19" s="344"/>
      <c r="SCV19" s="344"/>
      <c r="SCW19" s="344"/>
      <c r="SCX19" s="344"/>
      <c r="SCY19" s="344"/>
      <c r="SCZ19" s="344"/>
      <c r="SDA19" s="344"/>
      <c r="SDB19" s="344"/>
      <c r="SDC19" s="344"/>
      <c r="SDD19" s="344"/>
      <c r="SDE19" s="344"/>
      <c r="SDF19" s="344"/>
      <c r="SDG19" s="344"/>
      <c r="SDH19" s="344"/>
      <c r="SDI19" s="344"/>
      <c r="SDJ19" s="344"/>
      <c r="SDK19" s="344"/>
      <c r="SDL19" s="344"/>
      <c r="SDM19" s="344"/>
      <c r="SDN19" s="344"/>
      <c r="SDO19" s="344"/>
      <c r="SDP19" s="344"/>
      <c r="SDQ19" s="344"/>
      <c r="SDR19" s="344"/>
      <c r="SDS19" s="344"/>
      <c r="SDT19" s="344"/>
      <c r="SDU19" s="344"/>
      <c r="SDV19" s="344"/>
      <c r="SDW19" s="344"/>
      <c r="SDX19" s="344"/>
      <c r="SDY19" s="344"/>
      <c r="SDZ19" s="344"/>
      <c r="SEA19" s="344"/>
      <c r="SEB19" s="344"/>
      <c r="SEC19" s="344"/>
      <c r="SED19" s="344"/>
      <c r="SEE19" s="344"/>
      <c r="SEF19" s="344"/>
      <c r="SEG19" s="344"/>
      <c r="SEH19" s="344"/>
      <c r="SEI19" s="344"/>
      <c r="SEJ19" s="344"/>
      <c r="SEK19" s="344"/>
      <c r="SEL19" s="344"/>
      <c r="SEM19" s="344"/>
      <c r="SEN19" s="344"/>
      <c r="SEO19" s="344"/>
      <c r="SEP19" s="344"/>
      <c r="SEQ19" s="344"/>
      <c r="SER19" s="344"/>
      <c r="SES19" s="344"/>
      <c r="SET19" s="344"/>
      <c r="SEU19" s="344"/>
      <c r="SEV19" s="344"/>
      <c r="SEW19" s="344"/>
      <c r="SEX19" s="344"/>
      <c r="SEY19" s="344"/>
      <c r="SEZ19" s="344"/>
      <c r="SFA19" s="344"/>
      <c r="SFB19" s="344"/>
      <c r="SFC19" s="344"/>
      <c r="SFD19" s="344"/>
      <c r="SFE19" s="344"/>
      <c r="SFF19" s="344"/>
      <c r="SFG19" s="344"/>
      <c r="SFH19" s="344"/>
      <c r="SFI19" s="344"/>
      <c r="SFJ19" s="344"/>
      <c r="SFK19" s="344"/>
      <c r="SFL19" s="344"/>
      <c r="SFM19" s="344"/>
      <c r="SFN19" s="344"/>
      <c r="SFO19" s="344"/>
      <c r="SFP19" s="344"/>
      <c r="SFQ19" s="344"/>
      <c r="SFR19" s="344"/>
      <c r="SFS19" s="344"/>
      <c r="SFT19" s="344"/>
      <c r="SFU19" s="344"/>
      <c r="SFV19" s="344"/>
      <c r="SFW19" s="344"/>
      <c r="SFX19" s="344"/>
      <c r="SFY19" s="344"/>
      <c r="SFZ19" s="344"/>
      <c r="SGA19" s="344"/>
      <c r="SGB19" s="344"/>
      <c r="SGC19" s="344"/>
      <c r="SGD19" s="344"/>
      <c r="SGE19" s="344"/>
      <c r="SGF19" s="344"/>
      <c r="SGG19" s="344"/>
      <c r="SGH19" s="344"/>
      <c r="SGI19" s="344"/>
      <c r="SGJ19" s="344"/>
      <c r="SGK19" s="344"/>
      <c r="SGL19" s="344"/>
      <c r="SGM19" s="344"/>
      <c r="SGN19" s="344"/>
      <c r="SGO19" s="344"/>
      <c r="SGP19" s="344"/>
      <c r="SGQ19" s="344"/>
      <c r="SGR19" s="344"/>
      <c r="SGS19" s="344"/>
      <c r="SGT19" s="344"/>
      <c r="SGU19" s="344"/>
      <c r="SGV19" s="344"/>
      <c r="SGW19" s="344"/>
      <c r="SGX19" s="344"/>
      <c r="SGY19" s="344"/>
      <c r="SGZ19" s="344"/>
      <c r="SHA19" s="344"/>
      <c r="SHB19" s="344"/>
      <c r="SHC19" s="344"/>
      <c r="SHD19" s="344"/>
      <c r="SHE19" s="344"/>
      <c r="SHF19" s="344"/>
      <c r="SHG19" s="344"/>
      <c r="SHH19" s="344"/>
      <c r="SHI19" s="344"/>
      <c r="SHJ19" s="344"/>
      <c r="SHK19" s="344"/>
      <c r="SHL19" s="344"/>
      <c r="SHM19" s="344"/>
      <c r="SHN19" s="344"/>
      <c r="SHO19" s="344"/>
      <c r="SHP19" s="344"/>
      <c r="SHQ19" s="344"/>
      <c r="SHR19" s="344"/>
      <c r="SHS19" s="344"/>
      <c r="SHT19" s="344"/>
      <c r="SHU19" s="344"/>
      <c r="SHV19" s="344"/>
      <c r="SHW19" s="344"/>
      <c r="SHX19" s="344"/>
      <c r="SHY19" s="344"/>
      <c r="SHZ19" s="344"/>
      <c r="SIA19" s="344"/>
      <c r="SIB19" s="344"/>
      <c r="SIC19" s="344"/>
      <c r="SID19" s="344"/>
      <c r="SIE19" s="344"/>
      <c r="SIF19" s="344"/>
      <c r="SIG19" s="344"/>
      <c r="SIH19" s="344"/>
      <c r="SII19" s="344"/>
      <c r="SIJ19" s="344"/>
      <c r="SIK19" s="344"/>
      <c r="SIL19" s="344"/>
      <c r="SIM19" s="344"/>
      <c r="SIN19" s="344"/>
      <c r="SIO19" s="344"/>
      <c r="SIP19" s="344"/>
      <c r="SIQ19" s="344"/>
      <c r="SIR19" s="344"/>
      <c r="SIS19" s="344"/>
      <c r="SIT19" s="344"/>
      <c r="SIU19" s="344"/>
      <c r="SIV19" s="344"/>
      <c r="SIW19" s="344"/>
      <c r="SIX19" s="344"/>
      <c r="SIY19" s="344"/>
      <c r="SIZ19" s="344"/>
      <c r="SJA19" s="344"/>
      <c r="SJB19" s="344"/>
      <c r="SJC19" s="344"/>
      <c r="SJD19" s="344"/>
      <c r="SJE19" s="344"/>
      <c r="SJF19" s="344"/>
      <c r="SJG19" s="344"/>
      <c r="SJH19" s="344"/>
      <c r="SJI19" s="344"/>
      <c r="SJJ19" s="344"/>
      <c r="SJK19" s="344"/>
      <c r="SJL19" s="344"/>
      <c r="SJM19" s="344"/>
      <c r="SJN19" s="344"/>
      <c r="SJO19" s="344"/>
      <c r="SJP19" s="344"/>
      <c r="SJQ19" s="344"/>
      <c r="SJR19" s="344"/>
      <c r="SJS19" s="344"/>
      <c r="SJT19" s="344"/>
      <c r="SJU19" s="344"/>
      <c r="SJV19" s="344"/>
      <c r="SJW19" s="344"/>
      <c r="SJX19" s="344"/>
      <c r="SJY19" s="344"/>
      <c r="SJZ19" s="344"/>
      <c r="SKA19" s="344"/>
      <c r="SKB19" s="344"/>
      <c r="SKC19" s="344"/>
      <c r="SKD19" s="344"/>
      <c r="SKE19" s="344"/>
      <c r="SKF19" s="344"/>
      <c r="SKG19" s="344"/>
      <c r="SKH19" s="344"/>
      <c r="SKI19" s="344"/>
      <c r="SKJ19" s="344"/>
      <c r="SKK19" s="344"/>
      <c r="SKL19" s="344"/>
      <c r="SKM19" s="344"/>
      <c r="SKN19" s="344"/>
      <c r="SKO19" s="344"/>
      <c r="SKP19" s="344"/>
      <c r="SKQ19" s="344"/>
      <c r="SKR19" s="344"/>
      <c r="SKS19" s="344"/>
      <c r="SKT19" s="344"/>
      <c r="SKU19" s="344"/>
      <c r="SKV19" s="344"/>
      <c r="SKW19" s="344"/>
      <c r="SKX19" s="344"/>
      <c r="SKY19" s="344"/>
      <c r="SKZ19" s="344"/>
      <c r="SLA19" s="344"/>
      <c r="SLB19" s="344"/>
      <c r="SLC19" s="344"/>
      <c r="SLD19" s="344"/>
      <c r="SLE19" s="344"/>
      <c r="SLF19" s="344"/>
      <c r="SLG19" s="344"/>
      <c r="SLH19" s="344"/>
      <c r="SLI19" s="344"/>
      <c r="SLJ19" s="344"/>
      <c r="SLK19" s="344"/>
      <c r="SLL19" s="344"/>
      <c r="SLM19" s="344"/>
      <c r="SLN19" s="344"/>
      <c r="SLO19" s="344"/>
      <c r="SLP19" s="344"/>
      <c r="SLQ19" s="344"/>
      <c r="SLR19" s="344"/>
      <c r="SLS19" s="344"/>
      <c r="SLT19" s="344"/>
      <c r="SLU19" s="344"/>
      <c r="SLV19" s="344"/>
      <c r="SLW19" s="344"/>
      <c r="SLX19" s="344"/>
      <c r="SLY19" s="344"/>
      <c r="SLZ19" s="344"/>
      <c r="SMA19" s="344"/>
      <c r="SMB19" s="344"/>
      <c r="SMC19" s="344"/>
      <c r="SMD19" s="344"/>
      <c r="SME19" s="344"/>
      <c r="SMF19" s="344"/>
      <c r="SMG19" s="344"/>
      <c r="SMH19" s="344"/>
      <c r="SMI19" s="344"/>
      <c r="SMJ19" s="344"/>
      <c r="SMK19" s="344"/>
      <c r="SML19" s="344"/>
      <c r="SMM19" s="344"/>
      <c r="SMN19" s="344"/>
      <c r="SMO19" s="344"/>
      <c r="SMP19" s="344"/>
      <c r="SMQ19" s="344"/>
      <c r="SMR19" s="344"/>
      <c r="SMS19" s="344"/>
      <c r="SMT19" s="344"/>
      <c r="SMU19" s="344"/>
      <c r="SMV19" s="344"/>
      <c r="SMW19" s="344"/>
      <c r="SMX19" s="344"/>
      <c r="SMY19" s="344"/>
      <c r="SMZ19" s="344"/>
      <c r="SNA19" s="344"/>
      <c r="SNB19" s="344"/>
      <c r="SNC19" s="344"/>
      <c r="SND19" s="344"/>
      <c r="SNE19" s="344"/>
      <c r="SNF19" s="344"/>
      <c r="SNG19" s="344"/>
      <c r="SNH19" s="344"/>
      <c r="SNI19" s="344"/>
      <c r="SNJ19" s="344"/>
      <c r="SNK19" s="344"/>
      <c r="SNL19" s="344"/>
      <c r="SNM19" s="344"/>
      <c r="SNN19" s="344"/>
      <c r="SNO19" s="344"/>
      <c r="SNP19" s="344"/>
      <c r="SNQ19" s="344"/>
      <c r="SNR19" s="344"/>
      <c r="SNS19" s="344"/>
      <c r="SNT19" s="344"/>
      <c r="SNU19" s="344"/>
      <c r="SNV19" s="344"/>
      <c r="SNW19" s="344"/>
      <c r="SNX19" s="344"/>
      <c r="SNY19" s="344"/>
      <c r="SNZ19" s="344"/>
      <c r="SOA19" s="344"/>
      <c r="SOB19" s="344"/>
      <c r="SOC19" s="344"/>
      <c r="SOD19" s="344"/>
      <c r="SOE19" s="344"/>
      <c r="SOF19" s="344"/>
      <c r="SOG19" s="344"/>
      <c r="SOH19" s="344"/>
      <c r="SOI19" s="344"/>
      <c r="SOJ19" s="344"/>
      <c r="SOK19" s="344"/>
      <c r="SOL19" s="344"/>
      <c r="SOM19" s="344"/>
      <c r="SON19" s="344"/>
      <c r="SOO19" s="344"/>
      <c r="SOP19" s="344"/>
      <c r="SOQ19" s="344"/>
      <c r="SOR19" s="344"/>
      <c r="SOS19" s="344"/>
      <c r="SOT19" s="344"/>
      <c r="SOU19" s="344"/>
      <c r="SOV19" s="344"/>
      <c r="SOW19" s="344"/>
      <c r="SOX19" s="344"/>
      <c r="SOY19" s="344"/>
      <c r="SOZ19" s="344"/>
      <c r="SPA19" s="344"/>
      <c r="SPB19" s="344"/>
      <c r="SPC19" s="344"/>
      <c r="SPD19" s="344"/>
      <c r="SPE19" s="344"/>
      <c r="SPF19" s="344"/>
      <c r="SPG19" s="344"/>
      <c r="SPH19" s="344"/>
      <c r="SPI19" s="344"/>
      <c r="SPJ19" s="344"/>
      <c r="SPK19" s="344"/>
      <c r="SPL19" s="344"/>
      <c r="SPM19" s="344"/>
      <c r="SPN19" s="344"/>
      <c r="SPO19" s="344"/>
      <c r="SPP19" s="344"/>
      <c r="SPQ19" s="344"/>
      <c r="SPR19" s="344"/>
      <c r="SPS19" s="344"/>
      <c r="SPT19" s="344"/>
      <c r="SPU19" s="344"/>
      <c r="SPV19" s="344"/>
      <c r="SPW19" s="344"/>
      <c r="SPX19" s="344"/>
      <c r="SPY19" s="344"/>
      <c r="SPZ19" s="344"/>
      <c r="SQA19" s="344"/>
      <c r="SQB19" s="344"/>
      <c r="SQC19" s="344"/>
      <c r="SQD19" s="344"/>
      <c r="SQE19" s="344"/>
      <c r="SQF19" s="344"/>
      <c r="SQG19" s="344"/>
      <c r="SQH19" s="344"/>
      <c r="SQI19" s="344"/>
      <c r="SQJ19" s="344"/>
      <c r="SQK19" s="344"/>
      <c r="SQL19" s="344"/>
      <c r="SQM19" s="344"/>
      <c r="SQN19" s="344"/>
      <c r="SQO19" s="344"/>
      <c r="SQP19" s="344"/>
      <c r="SQQ19" s="344"/>
      <c r="SQR19" s="344"/>
      <c r="SQS19" s="344"/>
      <c r="SQT19" s="344"/>
      <c r="SQU19" s="344"/>
      <c r="SQV19" s="344"/>
      <c r="SQW19" s="344"/>
      <c r="SQX19" s="344"/>
      <c r="SQY19" s="344"/>
      <c r="SQZ19" s="344"/>
      <c r="SRA19" s="344"/>
      <c r="SRB19" s="344"/>
      <c r="SRC19" s="344"/>
      <c r="SRD19" s="344"/>
      <c r="SRE19" s="344"/>
      <c r="SRF19" s="344"/>
      <c r="SRG19" s="344"/>
      <c r="SRH19" s="344"/>
      <c r="SRI19" s="344"/>
      <c r="SRJ19" s="344"/>
      <c r="SRK19" s="344"/>
      <c r="SRL19" s="344"/>
      <c r="SRM19" s="344"/>
      <c r="SRN19" s="344"/>
      <c r="SRO19" s="344"/>
      <c r="SRP19" s="344"/>
      <c r="SRQ19" s="344"/>
      <c r="SRR19" s="344"/>
      <c r="SRS19" s="344"/>
      <c r="SRT19" s="344"/>
      <c r="SRU19" s="344"/>
      <c r="SRV19" s="344"/>
      <c r="SRW19" s="344"/>
      <c r="SRX19" s="344"/>
      <c r="SRY19" s="344"/>
      <c r="SRZ19" s="344"/>
      <c r="SSA19" s="344"/>
      <c r="SSB19" s="344"/>
      <c r="SSC19" s="344"/>
      <c r="SSD19" s="344"/>
      <c r="SSE19" s="344"/>
      <c r="SSF19" s="344"/>
      <c r="SSG19" s="344"/>
      <c r="SSH19" s="344"/>
      <c r="SSI19" s="344"/>
      <c r="SSJ19" s="344"/>
      <c r="SSK19" s="344"/>
      <c r="SSL19" s="344"/>
      <c r="SSM19" s="344"/>
      <c r="SSN19" s="344"/>
      <c r="SSO19" s="344"/>
      <c r="SSP19" s="344"/>
      <c r="SSQ19" s="344"/>
      <c r="SSR19" s="344"/>
      <c r="SSS19" s="344"/>
      <c r="SST19" s="344"/>
      <c r="SSU19" s="344"/>
      <c r="SSV19" s="344"/>
      <c r="SSW19" s="344"/>
      <c r="SSX19" s="344"/>
      <c r="SSY19" s="344"/>
      <c r="SSZ19" s="344"/>
      <c r="STA19" s="344"/>
      <c r="STB19" s="344"/>
      <c r="STC19" s="344"/>
      <c r="STD19" s="344"/>
      <c r="STE19" s="344"/>
      <c r="STF19" s="344"/>
      <c r="STG19" s="344"/>
      <c r="STH19" s="344"/>
      <c r="STI19" s="344"/>
      <c r="STJ19" s="344"/>
      <c r="STK19" s="344"/>
      <c r="STL19" s="344"/>
      <c r="STM19" s="344"/>
      <c r="STN19" s="344"/>
      <c r="STO19" s="344"/>
      <c r="STP19" s="344"/>
      <c r="STQ19" s="344"/>
      <c r="STR19" s="344"/>
      <c r="STS19" s="344"/>
      <c r="STT19" s="344"/>
      <c r="STU19" s="344"/>
      <c r="STV19" s="344"/>
      <c r="STW19" s="344"/>
      <c r="STX19" s="344"/>
      <c r="STY19" s="344"/>
      <c r="STZ19" s="344"/>
      <c r="SUA19" s="344"/>
      <c r="SUB19" s="344"/>
      <c r="SUC19" s="344"/>
      <c r="SUD19" s="344"/>
      <c r="SUE19" s="344"/>
      <c r="SUF19" s="344"/>
      <c r="SUG19" s="344"/>
      <c r="SUH19" s="344"/>
      <c r="SUI19" s="344"/>
      <c r="SUJ19" s="344"/>
      <c r="SUK19" s="344"/>
      <c r="SUL19" s="344"/>
      <c r="SUM19" s="344"/>
      <c r="SUN19" s="344"/>
      <c r="SUO19" s="344"/>
      <c r="SUP19" s="344"/>
      <c r="SUQ19" s="344"/>
      <c r="SUR19" s="344"/>
      <c r="SUS19" s="344"/>
      <c r="SUT19" s="344"/>
      <c r="SUU19" s="344"/>
      <c r="SUV19" s="344"/>
      <c r="SUW19" s="344"/>
      <c r="SUX19" s="344"/>
      <c r="SUY19" s="344"/>
      <c r="SUZ19" s="344"/>
      <c r="SVA19" s="344"/>
      <c r="SVB19" s="344"/>
      <c r="SVC19" s="344"/>
      <c r="SVD19" s="344"/>
      <c r="SVE19" s="344"/>
      <c r="SVF19" s="344"/>
      <c r="SVG19" s="344"/>
      <c r="SVH19" s="344"/>
      <c r="SVI19" s="344"/>
      <c r="SVJ19" s="344"/>
      <c r="SVK19" s="344"/>
      <c r="SVL19" s="344"/>
      <c r="SVM19" s="344"/>
      <c r="SVN19" s="344"/>
      <c r="SVO19" s="344"/>
      <c r="SVP19" s="344"/>
      <c r="SVQ19" s="344"/>
      <c r="SVR19" s="344"/>
      <c r="SVS19" s="344"/>
      <c r="SVT19" s="344"/>
      <c r="SVU19" s="344"/>
      <c r="SVV19" s="344"/>
      <c r="SVW19" s="344"/>
      <c r="SVX19" s="344"/>
      <c r="SVY19" s="344"/>
      <c r="SVZ19" s="344"/>
      <c r="SWA19" s="344"/>
      <c r="SWB19" s="344"/>
      <c r="SWC19" s="344"/>
      <c r="SWD19" s="344"/>
      <c r="SWE19" s="344"/>
      <c r="SWF19" s="344"/>
      <c r="SWG19" s="344"/>
      <c r="SWH19" s="344"/>
      <c r="SWI19" s="344"/>
      <c r="SWJ19" s="344"/>
      <c r="SWK19" s="344"/>
      <c r="SWL19" s="344"/>
      <c r="SWM19" s="344"/>
      <c r="SWN19" s="344"/>
      <c r="SWO19" s="344"/>
      <c r="SWP19" s="344"/>
      <c r="SWQ19" s="344"/>
      <c r="SWR19" s="344"/>
      <c r="SWS19" s="344"/>
      <c r="SWT19" s="344"/>
      <c r="SWU19" s="344"/>
      <c r="SWV19" s="344"/>
      <c r="SWW19" s="344"/>
      <c r="SWX19" s="344"/>
      <c r="SWY19" s="344"/>
      <c r="SWZ19" s="344"/>
      <c r="SXA19" s="344"/>
      <c r="SXB19" s="344"/>
      <c r="SXC19" s="344"/>
      <c r="SXD19" s="344"/>
      <c r="SXE19" s="344"/>
      <c r="SXF19" s="344"/>
      <c r="SXG19" s="344"/>
      <c r="SXH19" s="344"/>
      <c r="SXI19" s="344"/>
      <c r="SXJ19" s="344"/>
      <c r="SXK19" s="344"/>
      <c r="SXL19" s="344"/>
      <c r="SXM19" s="344"/>
      <c r="SXN19" s="344"/>
      <c r="SXO19" s="344"/>
      <c r="SXP19" s="344"/>
      <c r="SXQ19" s="344"/>
      <c r="SXR19" s="344"/>
      <c r="SXS19" s="344"/>
      <c r="SXT19" s="344"/>
      <c r="SXU19" s="344"/>
      <c r="SXV19" s="344"/>
      <c r="SXW19" s="344"/>
      <c r="SXX19" s="344"/>
      <c r="SXY19" s="344"/>
      <c r="SXZ19" s="344"/>
      <c r="SYA19" s="344"/>
      <c r="SYB19" s="344"/>
      <c r="SYC19" s="344"/>
      <c r="SYD19" s="344"/>
      <c r="SYE19" s="344"/>
      <c r="SYF19" s="344"/>
      <c r="SYG19" s="344"/>
      <c r="SYH19" s="344"/>
      <c r="SYI19" s="344"/>
      <c r="SYJ19" s="344"/>
      <c r="SYK19" s="344"/>
      <c r="SYL19" s="344"/>
      <c r="SYM19" s="344"/>
      <c r="SYN19" s="344"/>
      <c r="SYO19" s="344"/>
      <c r="SYP19" s="344"/>
      <c r="SYQ19" s="344"/>
      <c r="SYR19" s="344"/>
      <c r="SYS19" s="344"/>
      <c r="SYT19" s="344"/>
      <c r="SYU19" s="344"/>
      <c r="SYV19" s="344"/>
      <c r="SYW19" s="344"/>
      <c r="SYX19" s="344"/>
      <c r="SYY19" s="344"/>
      <c r="SYZ19" s="344"/>
      <c r="SZA19" s="344"/>
      <c r="SZB19" s="344"/>
      <c r="SZC19" s="344"/>
      <c r="SZD19" s="344"/>
      <c r="SZE19" s="344"/>
      <c r="SZF19" s="344"/>
      <c r="SZG19" s="344"/>
      <c r="SZH19" s="344"/>
      <c r="SZI19" s="344"/>
      <c r="SZJ19" s="344"/>
      <c r="SZK19" s="344"/>
      <c r="SZL19" s="344"/>
      <c r="SZM19" s="344"/>
      <c r="SZN19" s="344"/>
      <c r="SZO19" s="344"/>
      <c r="SZP19" s="344"/>
      <c r="SZQ19" s="344"/>
      <c r="SZR19" s="344"/>
      <c r="SZS19" s="344"/>
      <c r="SZT19" s="344"/>
      <c r="SZU19" s="344"/>
      <c r="SZV19" s="344"/>
      <c r="SZW19" s="344"/>
      <c r="SZX19" s="344"/>
      <c r="SZY19" s="344"/>
      <c r="SZZ19" s="344"/>
      <c r="TAA19" s="344"/>
      <c r="TAB19" s="344"/>
      <c r="TAC19" s="344"/>
      <c r="TAD19" s="344"/>
      <c r="TAE19" s="344"/>
      <c r="TAF19" s="344"/>
      <c r="TAG19" s="344"/>
      <c r="TAH19" s="344"/>
      <c r="TAI19" s="344"/>
      <c r="TAJ19" s="344"/>
      <c r="TAK19" s="344"/>
      <c r="TAL19" s="344"/>
      <c r="TAM19" s="344"/>
      <c r="TAN19" s="344"/>
      <c r="TAO19" s="344"/>
      <c r="TAP19" s="344"/>
      <c r="TAQ19" s="344"/>
      <c r="TAR19" s="344"/>
      <c r="TAS19" s="344"/>
      <c r="TAT19" s="344"/>
      <c r="TAU19" s="344"/>
      <c r="TAV19" s="344"/>
      <c r="TAW19" s="344"/>
      <c r="TAX19" s="344"/>
      <c r="TAY19" s="344"/>
      <c r="TAZ19" s="344"/>
      <c r="TBA19" s="344"/>
      <c r="TBB19" s="344"/>
      <c r="TBC19" s="344"/>
      <c r="TBD19" s="344"/>
      <c r="TBE19" s="344"/>
      <c r="TBF19" s="344"/>
      <c r="TBG19" s="344"/>
      <c r="TBH19" s="344"/>
      <c r="TBI19" s="344"/>
      <c r="TBJ19" s="344"/>
      <c r="TBK19" s="344"/>
      <c r="TBL19" s="344"/>
      <c r="TBM19" s="344"/>
      <c r="TBN19" s="344"/>
      <c r="TBO19" s="344"/>
      <c r="TBP19" s="344"/>
      <c r="TBQ19" s="344"/>
      <c r="TBR19" s="344"/>
      <c r="TBS19" s="344"/>
      <c r="TBT19" s="344"/>
      <c r="TBU19" s="344"/>
      <c r="TBV19" s="344"/>
      <c r="TBW19" s="344"/>
      <c r="TBX19" s="344"/>
      <c r="TBY19" s="344"/>
      <c r="TBZ19" s="344"/>
      <c r="TCA19" s="344"/>
      <c r="TCB19" s="344"/>
      <c r="TCC19" s="344"/>
      <c r="TCD19" s="344"/>
      <c r="TCE19" s="344"/>
      <c r="TCF19" s="344"/>
      <c r="TCG19" s="344"/>
      <c r="TCH19" s="344"/>
      <c r="TCI19" s="344"/>
      <c r="TCJ19" s="344"/>
      <c r="TCK19" s="344"/>
      <c r="TCL19" s="344"/>
      <c r="TCM19" s="344"/>
      <c r="TCN19" s="344"/>
      <c r="TCO19" s="344"/>
      <c r="TCP19" s="344"/>
      <c r="TCQ19" s="344"/>
      <c r="TCR19" s="344"/>
      <c r="TCS19" s="344"/>
      <c r="TCT19" s="344"/>
      <c r="TCU19" s="344"/>
      <c r="TCV19" s="344"/>
      <c r="TCW19" s="344"/>
      <c r="TCX19" s="344"/>
      <c r="TCY19" s="344"/>
      <c r="TCZ19" s="344"/>
      <c r="TDA19" s="344"/>
      <c r="TDB19" s="344"/>
      <c r="TDC19" s="344"/>
      <c r="TDD19" s="344"/>
      <c r="TDE19" s="344"/>
      <c r="TDF19" s="344"/>
      <c r="TDG19" s="344"/>
      <c r="TDH19" s="344"/>
      <c r="TDI19" s="344"/>
      <c r="TDJ19" s="344"/>
      <c r="TDK19" s="344"/>
      <c r="TDL19" s="344"/>
      <c r="TDM19" s="344"/>
      <c r="TDN19" s="344"/>
      <c r="TDO19" s="344"/>
      <c r="TDP19" s="344"/>
      <c r="TDQ19" s="344"/>
      <c r="TDR19" s="344"/>
      <c r="TDS19" s="344"/>
      <c r="TDT19" s="344"/>
      <c r="TDU19" s="344"/>
      <c r="TDV19" s="344"/>
      <c r="TDW19" s="344"/>
      <c r="TDX19" s="344"/>
      <c r="TDY19" s="344"/>
      <c r="TDZ19" s="344"/>
      <c r="TEA19" s="344"/>
      <c r="TEB19" s="344"/>
      <c r="TEC19" s="344"/>
      <c r="TED19" s="344"/>
      <c r="TEE19" s="344"/>
      <c r="TEF19" s="344"/>
      <c r="TEG19" s="344"/>
      <c r="TEH19" s="344"/>
      <c r="TEI19" s="344"/>
      <c r="TEJ19" s="344"/>
      <c r="TEK19" s="344"/>
      <c r="TEL19" s="344"/>
      <c r="TEM19" s="344"/>
      <c r="TEN19" s="344"/>
      <c r="TEO19" s="344"/>
      <c r="TEP19" s="344"/>
      <c r="TEQ19" s="344"/>
      <c r="TER19" s="344"/>
      <c r="TES19" s="344"/>
      <c r="TET19" s="344"/>
      <c r="TEU19" s="344"/>
      <c r="TEV19" s="344"/>
      <c r="TEW19" s="344"/>
      <c r="TEX19" s="344"/>
      <c r="TEY19" s="344"/>
      <c r="TEZ19" s="344"/>
      <c r="TFA19" s="344"/>
      <c r="TFB19" s="344"/>
      <c r="TFC19" s="344"/>
      <c r="TFD19" s="344"/>
      <c r="TFE19" s="344"/>
      <c r="TFF19" s="344"/>
      <c r="TFG19" s="344"/>
      <c r="TFH19" s="344"/>
      <c r="TFI19" s="344"/>
      <c r="TFJ19" s="344"/>
      <c r="TFK19" s="344"/>
      <c r="TFL19" s="344"/>
      <c r="TFM19" s="344"/>
      <c r="TFN19" s="344"/>
      <c r="TFO19" s="344"/>
      <c r="TFP19" s="344"/>
      <c r="TFQ19" s="344"/>
      <c r="TFR19" s="344"/>
      <c r="TFS19" s="344"/>
      <c r="TFT19" s="344"/>
      <c r="TFU19" s="344"/>
      <c r="TFV19" s="344"/>
      <c r="TFW19" s="344"/>
      <c r="TFX19" s="344"/>
      <c r="TFY19" s="344"/>
      <c r="TFZ19" s="344"/>
      <c r="TGA19" s="344"/>
      <c r="TGB19" s="344"/>
      <c r="TGC19" s="344"/>
      <c r="TGD19" s="344"/>
      <c r="TGE19" s="344"/>
      <c r="TGF19" s="344"/>
      <c r="TGG19" s="344"/>
      <c r="TGH19" s="344"/>
      <c r="TGI19" s="344"/>
      <c r="TGJ19" s="344"/>
      <c r="TGK19" s="344"/>
      <c r="TGL19" s="344"/>
      <c r="TGM19" s="344"/>
      <c r="TGN19" s="344"/>
      <c r="TGO19" s="344"/>
      <c r="TGP19" s="344"/>
      <c r="TGQ19" s="344"/>
      <c r="TGR19" s="344"/>
      <c r="TGS19" s="344"/>
      <c r="TGT19" s="344"/>
      <c r="TGU19" s="344"/>
      <c r="TGV19" s="344"/>
      <c r="TGW19" s="344"/>
      <c r="TGX19" s="344"/>
      <c r="TGY19" s="344"/>
      <c r="TGZ19" s="344"/>
      <c r="THA19" s="344"/>
      <c r="THB19" s="344"/>
      <c r="THC19" s="344"/>
      <c r="THD19" s="344"/>
      <c r="THE19" s="344"/>
      <c r="THF19" s="344"/>
      <c r="THG19" s="344"/>
      <c r="THH19" s="344"/>
      <c r="THI19" s="344"/>
      <c r="THJ19" s="344"/>
      <c r="THK19" s="344"/>
      <c r="THL19" s="344"/>
      <c r="THM19" s="344"/>
      <c r="THN19" s="344"/>
      <c r="THO19" s="344"/>
      <c r="THP19" s="344"/>
      <c r="THQ19" s="344"/>
      <c r="THR19" s="344"/>
      <c r="THS19" s="344"/>
      <c r="THT19" s="344"/>
      <c r="THU19" s="344"/>
      <c r="THV19" s="344"/>
      <c r="THW19" s="344"/>
      <c r="THX19" s="344"/>
      <c r="THY19" s="344"/>
      <c r="THZ19" s="344"/>
      <c r="TIA19" s="344"/>
      <c r="TIB19" s="344"/>
      <c r="TIC19" s="344"/>
      <c r="TID19" s="344"/>
      <c r="TIE19" s="344"/>
      <c r="TIF19" s="344"/>
      <c r="TIG19" s="344"/>
      <c r="TIH19" s="344"/>
      <c r="TII19" s="344"/>
      <c r="TIJ19" s="344"/>
      <c r="TIK19" s="344"/>
      <c r="TIL19" s="344"/>
      <c r="TIM19" s="344"/>
      <c r="TIN19" s="344"/>
      <c r="TIO19" s="344"/>
      <c r="TIP19" s="344"/>
      <c r="TIQ19" s="344"/>
      <c r="TIR19" s="344"/>
      <c r="TIS19" s="344"/>
      <c r="TIT19" s="344"/>
      <c r="TIU19" s="344"/>
      <c r="TIV19" s="344"/>
      <c r="TIW19" s="344"/>
      <c r="TIX19" s="344"/>
      <c r="TIY19" s="344"/>
      <c r="TIZ19" s="344"/>
      <c r="TJA19" s="344"/>
      <c r="TJB19" s="344"/>
      <c r="TJC19" s="344"/>
      <c r="TJD19" s="344"/>
      <c r="TJE19" s="344"/>
      <c r="TJF19" s="344"/>
      <c r="TJG19" s="344"/>
      <c r="TJH19" s="344"/>
      <c r="TJI19" s="344"/>
      <c r="TJJ19" s="344"/>
      <c r="TJK19" s="344"/>
      <c r="TJL19" s="344"/>
      <c r="TJM19" s="344"/>
      <c r="TJN19" s="344"/>
      <c r="TJO19" s="344"/>
      <c r="TJP19" s="344"/>
      <c r="TJQ19" s="344"/>
      <c r="TJR19" s="344"/>
      <c r="TJS19" s="344"/>
      <c r="TJT19" s="344"/>
      <c r="TJU19" s="344"/>
      <c r="TJV19" s="344"/>
      <c r="TJW19" s="344"/>
      <c r="TJX19" s="344"/>
      <c r="TJY19" s="344"/>
      <c r="TJZ19" s="344"/>
      <c r="TKA19" s="344"/>
      <c r="TKB19" s="344"/>
      <c r="TKC19" s="344"/>
      <c r="TKD19" s="344"/>
      <c r="TKE19" s="344"/>
      <c r="TKF19" s="344"/>
      <c r="TKG19" s="344"/>
      <c r="TKH19" s="344"/>
      <c r="TKI19" s="344"/>
      <c r="TKJ19" s="344"/>
      <c r="TKK19" s="344"/>
      <c r="TKL19" s="344"/>
      <c r="TKM19" s="344"/>
      <c r="TKN19" s="344"/>
      <c r="TKO19" s="344"/>
      <c r="TKP19" s="344"/>
      <c r="TKQ19" s="344"/>
      <c r="TKR19" s="344"/>
      <c r="TKS19" s="344"/>
      <c r="TKT19" s="344"/>
      <c r="TKU19" s="344"/>
      <c r="TKV19" s="344"/>
      <c r="TKW19" s="344"/>
      <c r="TKX19" s="344"/>
      <c r="TKY19" s="344"/>
      <c r="TKZ19" s="344"/>
      <c r="TLA19" s="344"/>
      <c r="TLB19" s="344"/>
      <c r="TLC19" s="344"/>
      <c r="TLD19" s="344"/>
      <c r="TLE19" s="344"/>
      <c r="TLF19" s="344"/>
      <c r="TLG19" s="344"/>
      <c r="TLH19" s="344"/>
      <c r="TLI19" s="344"/>
      <c r="TLJ19" s="344"/>
      <c r="TLK19" s="344"/>
      <c r="TLL19" s="344"/>
      <c r="TLM19" s="344"/>
      <c r="TLN19" s="344"/>
      <c r="TLO19" s="344"/>
      <c r="TLP19" s="344"/>
      <c r="TLQ19" s="344"/>
      <c r="TLR19" s="344"/>
      <c r="TLS19" s="344"/>
      <c r="TLT19" s="344"/>
      <c r="TLU19" s="344"/>
      <c r="TLV19" s="344"/>
      <c r="TLW19" s="344"/>
      <c r="TLX19" s="344"/>
      <c r="TLY19" s="344"/>
      <c r="TLZ19" s="344"/>
      <c r="TMA19" s="344"/>
      <c r="TMB19" s="344"/>
      <c r="TMC19" s="344"/>
      <c r="TMD19" s="344"/>
      <c r="TME19" s="344"/>
      <c r="TMF19" s="344"/>
      <c r="TMG19" s="344"/>
      <c r="TMH19" s="344"/>
      <c r="TMI19" s="344"/>
      <c r="TMJ19" s="344"/>
      <c r="TMK19" s="344"/>
      <c r="TML19" s="344"/>
      <c r="TMM19" s="344"/>
      <c r="TMN19" s="344"/>
      <c r="TMO19" s="344"/>
      <c r="TMP19" s="344"/>
      <c r="TMQ19" s="344"/>
      <c r="TMR19" s="344"/>
      <c r="TMS19" s="344"/>
      <c r="TMT19" s="344"/>
      <c r="TMU19" s="344"/>
      <c r="TMV19" s="344"/>
      <c r="TMW19" s="344"/>
      <c r="TMX19" s="344"/>
      <c r="TMY19" s="344"/>
      <c r="TMZ19" s="344"/>
      <c r="TNA19" s="344"/>
      <c r="TNB19" s="344"/>
      <c r="TNC19" s="344"/>
      <c r="TND19" s="344"/>
      <c r="TNE19" s="344"/>
      <c r="TNF19" s="344"/>
      <c r="TNG19" s="344"/>
      <c r="TNH19" s="344"/>
      <c r="TNI19" s="344"/>
      <c r="TNJ19" s="344"/>
      <c r="TNK19" s="344"/>
      <c r="TNL19" s="344"/>
      <c r="TNM19" s="344"/>
      <c r="TNN19" s="344"/>
      <c r="TNO19" s="344"/>
      <c r="TNP19" s="344"/>
      <c r="TNQ19" s="344"/>
      <c r="TNR19" s="344"/>
      <c r="TNS19" s="344"/>
      <c r="TNT19" s="344"/>
      <c r="TNU19" s="344"/>
      <c r="TNV19" s="344"/>
      <c r="TNW19" s="344"/>
      <c r="TNX19" s="344"/>
      <c r="TNY19" s="344"/>
      <c r="TNZ19" s="344"/>
      <c r="TOA19" s="344"/>
      <c r="TOB19" s="344"/>
      <c r="TOC19" s="344"/>
      <c r="TOD19" s="344"/>
      <c r="TOE19" s="344"/>
      <c r="TOF19" s="344"/>
      <c r="TOG19" s="344"/>
      <c r="TOH19" s="344"/>
      <c r="TOI19" s="344"/>
      <c r="TOJ19" s="344"/>
      <c r="TOK19" s="344"/>
      <c r="TOL19" s="344"/>
      <c r="TOM19" s="344"/>
      <c r="TON19" s="344"/>
      <c r="TOO19" s="344"/>
      <c r="TOP19" s="344"/>
      <c r="TOQ19" s="344"/>
      <c r="TOR19" s="344"/>
      <c r="TOS19" s="344"/>
      <c r="TOT19" s="344"/>
      <c r="TOU19" s="344"/>
      <c r="TOV19" s="344"/>
      <c r="TOW19" s="344"/>
      <c r="TOX19" s="344"/>
      <c r="TOY19" s="344"/>
      <c r="TOZ19" s="344"/>
      <c r="TPA19" s="344"/>
      <c r="TPB19" s="344"/>
      <c r="TPC19" s="344"/>
      <c r="TPD19" s="344"/>
      <c r="TPE19" s="344"/>
      <c r="TPF19" s="344"/>
      <c r="TPG19" s="344"/>
      <c r="TPH19" s="344"/>
      <c r="TPI19" s="344"/>
      <c r="TPJ19" s="344"/>
      <c r="TPK19" s="344"/>
      <c r="TPL19" s="344"/>
      <c r="TPM19" s="344"/>
      <c r="TPN19" s="344"/>
      <c r="TPO19" s="344"/>
      <c r="TPP19" s="344"/>
      <c r="TPQ19" s="344"/>
      <c r="TPR19" s="344"/>
      <c r="TPS19" s="344"/>
      <c r="TPT19" s="344"/>
      <c r="TPU19" s="344"/>
      <c r="TPV19" s="344"/>
      <c r="TPW19" s="344"/>
      <c r="TPX19" s="344"/>
      <c r="TPY19" s="344"/>
      <c r="TPZ19" s="344"/>
      <c r="TQA19" s="344"/>
      <c r="TQB19" s="344"/>
      <c r="TQC19" s="344"/>
      <c r="TQD19" s="344"/>
      <c r="TQE19" s="344"/>
      <c r="TQF19" s="344"/>
      <c r="TQG19" s="344"/>
      <c r="TQH19" s="344"/>
      <c r="TQI19" s="344"/>
      <c r="TQJ19" s="344"/>
      <c r="TQK19" s="344"/>
      <c r="TQL19" s="344"/>
      <c r="TQM19" s="344"/>
      <c r="TQN19" s="344"/>
      <c r="TQO19" s="344"/>
      <c r="TQP19" s="344"/>
      <c r="TQQ19" s="344"/>
      <c r="TQR19" s="344"/>
      <c r="TQS19" s="344"/>
      <c r="TQT19" s="344"/>
      <c r="TQU19" s="344"/>
      <c r="TQV19" s="344"/>
      <c r="TQW19" s="344"/>
      <c r="TQX19" s="344"/>
      <c r="TQY19" s="344"/>
      <c r="TQZ19" s="344"/>
      <c r="TRA19" s="344"/>
      <c r="TRB19" s="344"/>
      <c r="TRC19" s="344"/>
      <c r="TRD19" s="344"/>
      <c r="TRE19" s="344"/>
      <c r="TRF19" s="344"/>
      <c r="TRG19" s="344"/>
      <c r="TRH19" s="344"/>
      <c r="TRI19" s="344"/>
      <c r="TRJ19" s="344"/>
      <c r="TRK19" s="344"/>
      <c r="TRL19" s="344"/>
      <c r="TRM19" s="344"/>
      <c r="TRN19" s="344"/>
      <c r="TRO19" s="344"/>
      <c r="TRP19" s="344"/>
      <c r="TRQ19" s="344"/>
      <c r="TRR19" s="344"/>
      <c r="TRS19" s="344"/>
      <c r="TRT19" s="344"/>
      <c r="TRU19" s="344"/>
      <c r="TRV19" s="344"/>
      <c r="TRW19" s="344"/>
      <c r="TRX19" s="344"/>
      <c r="TRY19" s="344"/>
      <c r="TRZ19" s="344"/>
      <c r="TSA19" s="344"/>
      <c r="TSB19" s="344"/>
      <c r="TSC19" s="344"/>
      <c r="TSD19" s="344"/>
      <c r="TSE19" s="344"/>
      <c r="TSF19" s="344"/>
      <c r="TSG19" s="344"/>
      <c r="TSH19" s="344"/>
      <c r="TSI19" s="344"/>
      <c r="TSJ19" s="344"/>
      <c r="TSK19" s="344"/>
      <c r="TSL19" s="344"/>
      <c r="TSM19" s="344"/>
      <c r="TSN19" s="344"/>
      <c r="TSO19" s="344"/>
      <c r="TSP19" s="344"/>
      <c r="TSQ19" s="344"/>
      <c r="TSR19" s="344"/>
      <c r="TSS19" s="344"/>
      <c r="TST19" s="344"/>
      <c r="TSU19" s="344"/>
      <c r="TSV19" s="344"/>
      <c r="TSW19" s="344"/>
      <c r="TSX19" s="344"/>
      <c r="TSY19" s="344"/>
      <c r="TSZ19" s="344"/>
      <c r="TTA19" s="344"/>
      <c r="TTB19" s="344"/>
      <c r="TTC19" s="344"/>
      <c r="TTD19" s="344"/>
      <c r="TTE19" s="344"/>
      <c r="TTF19" s="344"/>
      <c r="TTG19" s="344"/>
      <c r="TTH19" s="344"/>
      <c r="TTI19" s="344"/>
      <c r="TTJ19" s="344"/>
      <c r="TTK19" s="344"/>
      <c r="TTL19" s="344"/>
      <c r="TTM19" s="344"/>
      <c r="TTN19" s="344"/>
      <c r="TTO19" s="344"/>
      <c r="TTP19" s="344"/>
      <c r="TTQ19" s="344"/>
      <c r="TTR19" s="344"/>
      <c r="TTS19" s="344"/>
      <c r="TTT19" s="344"/>
      <c r="TTU19" s="344"/>
      <c r="TTV19" s="344"/>
      <c r="TTW19" s="344"/>
      <c r="TTX19" s="344"/>
      <c r="TTY19" s="344"/>
      <c r="TTZ19" s="344"/>
      <c r="TUA19" s="344"/>
      <c r="TUB19" s="344"/>
      <c r="TUC19" s="344"/>
      <c r="TUD19" s="344"/>
      <c r="TUE19" s="344"/>
      <c r="TUF19" s="344"/>
      <c r="TUG19" s="344"/>
      <c r="TUH19" s="344"/>
      <c r="TUI19" s="344"/>
      <c r="TUJ19" s="344"/>
      <c r="TUK19" s="344"/>
      <c r="TUL19" s="344"/>
      <c r="TUM19" s="344"/>
      <c r="TUN19" s="344"/>
      <c r="TUO19" s="344"/>
      <c r="TUP19" s="344"/>
      <c r="TUQ19" s="344"/>
      <c r="TUR19" s="344"/>
      <c r="TUS19" s="344"/>
      <c r="TUT19" s="344"/>
      <c r="TUU19" s="344"/>
      <c r="TUV19" s="344"/>
      <c r="TUW19" s="344"/>
      <c r="TUX19" s="344"/>
      <c r="TUY19" s="344"/>
      <c r="TUZ19" s="344"/>
      <c r="TVA19" s="344"/>
      <c r="TVB19" s="344"/>
      <c r="TVC19" s="344"/>
      <c r="TVD19" s="344"/>
      <c r="TVE19" s="344"/>
      <c r="TVF19" s="344"/>
      <c r="TVG19" s="344"/>
      <c r="TVH19" s="344"/>
      <c r="TVI19" s="344"/>
      <c r="TVJ19" s="344"/>
      <c r="TVK19" s="344"/>
      <c r="TVL19" s="344"/>
      <c r="TVM19" s="344"/>
      <c r="TVN19" s="344"/>
      <c r="TVO19" s="344"/>
      <c r="TVP19" s="344"/>
      <c r="TVQ19" s="344"/>
      <c r="TVR19" s="344"/>
      <c r="TVS19" s="344"/>
      <c r="TVT19" s="344"/>
      <c r="TVU19" s="344"/>
      <c r="TVV19" s="344"/>
      <c r="TVW19" s="344"/>
      <c r="TVX19" s="344"/>
      <c r="TVY19" s="344"/>
      <c r="TVZ19" s="344"/>
      <c r="TWA19" s="344"/>
      <c r="TWB19" s="344"/>
      <c r="TWC19" s="344"/>
      <c r="TWD19" s="344"/>
      <c r="TWE19" s="344"/>
      <c r="TWF19" s="344"/>
      <c r="TWG19" s="344"/>
      <c r="TWH19" s="344"/>
      <c r="TWI19" s="344"/>
      <c r="TWJ19" s="344"/>
      <c r="TWK19" s="344"/>
      <c r="TWL19" s="344"/>
      <c r="TWM19" s="344"/>
      <c r="TWN19" s="344"/>
      <c r="TWO19" s="344"/>
      <c r="TWP19" s="344"/>
      <c r="TWQ19" s="344"/>
      <c r="TWR19" s="344"/>
      <c r="TWS19" s="344"/>
      <c r="TWT19" s="344"/>
      <c r="TWU19" s="344"/>
      <c r="TWV19" s="344"/>
      <c r="TWW19" s="344"/>
      <c r="TWX19" s="344"/>
      <c r="TWY19" s="344"/>
      <c r="TWZ19" s="344"/>
      <c r="TXA19" s="344"/>
      <c r="TXB19" s="344"/>
      <c r="TXC19" s="344"/>
      <c r="TXD19" s="344"/>
      <c r="TXE19" s="344"/>
      <c r="TXF19" s="344"/>
      <c r="TXG19" s="344"/>
      <c r="TXH19" s="344"/>
      <c r="TXI19" s="344"/>
      <c r="TXJ19" s="344"/>
      <c r="TXK19" s="344"/>
      <c r="TXL19" s="344"/>
      <c r="TXM19" s="344"/>
      <c r="TXN19" s="344"/>
      <c r="TXO19" s="344"/>
      <c r="TXP19" s="344"/>
      <c r="TXQ19" s="344"/>
      <c r="TXR19" s="344"/>
      <c r="TXS19" s="344"/>
      <c r="TXT19" s="344"/>
      <c r="TXU19" s="344"/>
      <c r="TXV19" s="344"/>
      <c r="TXW19" s="344"/>
      <c r="TXX19" s="344"/>
      <c r="TXY19" s="344"/>
      <c r="TXZ19" s="344"/>
      <c r="TYA19" s="344"/>
      <c r="TYB19" s="344"/>
      <c r="TYC19" s="344"/>
      <c r="TYD19" s="344"/>
      <c r="TYE19" s="344"/>
      <c r="TYF19" s="344"/>
      <c r="TYG19" s="344"/>
      <c r="TYH19" s="344"/>
      <c r="TYI19" s="344"/>
      <c r="TYJ19" s="344"/>
      <c r="TYK19" s="344"/>
      <c r="TYL19" s="344"/>
      <c r="TYM19" s="344"/>
      <c r="TYN19" s="344"/>
      <c r="TYO19" s="344"/>
      <c r="TYP19" s="344"/>
      <c r="TYQ19" s="344"/>
      <c r="TYR19" s="344"/>
      <c r="TYS19" s="344"/>
      <c r="TYT19" s="344"/>
      <c r="TYU19" s="344"/>
      <c r="TYV19" s="344"/>
      <c r="TYW19" s="344"/>
      <c r="TYX19" s="344"/>
      <c r="TYY19" s="344"/>
      <c r="TYZ19" s="344"/>
      <c r="TZA19" s="344"/>
      <c r="TZB19" s="344"/>
      <c r="TZC19" s="344"/>
      <c r="TZD19" s="344"/>
      <c r="TZE19" s="344"/>
      <c r="TZF19" s="344"/>
      <c r="TZG19" s="344"/>
      <c r="TZH19" s="344"/>
      <c r="TZI19" s="344"/>
      <c r="TZJ19" s="344"/>
      <c r="TZK19" s="344"/>
      <c r="TZL19" s="344"/>
      <c r="TZM19" s="344"/>
      <c r="TZN19" s="344"/>
      <c r="TZO19" s="344"/>
      <c r="TZP19" s="344"/>
      <c r="TZQ19" s="344"/>
      <c r="TZR19" s="344"/>
      <c r="TZS19" s="344"/>
      <c r="TZT19" s="344"/>
      <c r="TZU19" s="344"/>
      <c r="TZV19" s="344"/>
      <c r="TZW19" s="344"/>
      <c r="TZX19" s="344"/>
      <c r="TZY19" s="344"/>
      <c r="TZZ19" s="344"/>
      <c r="UAA19" s="344"/>
      <c r="UAB19" s="344"/>
      <c r="UAC19" s="344"/>
      <c r="UAD19" s="344"/>
      <c r="UAE19" s="344"/>
      <c r="UAF19" s="344"/>
      <c r="UAG19" s="344"/>
      <c r="UAH19" s="344"/>
      <c r="UAI19" s="344"/>
      <c r="UAJ19" s="344"/>
      <c r="UAK19" s="344"/>
      <c r="UAL19" s="344"/>
      <c r="UAM19" s="344"/>
      <c r="UAN19" s="344"/>
      <c r="UAO19" s="344"/>
      <c r="UAP19" s="344"/>
      <c r="UAQ19" s="344"/>
      <c r="UAR19" s="344"/>
      <c r="UAS19" s="344"/>
      <c r="UAT19" s="344"/>
      <c r="UAU19" s="344"/>
      <c r="UAV19" s="344"/>
      <c r="UAW19" s="344"/>
      <c r="UAX19" s="344"/>
      <c r="UAY19" s="344"/>
      <c r="UAZ19" s="344"/>
      <c r="UBA19" s="344"/>
      <c r="UBB19" s="344"/>
      <c r="UBC19" s="344"/>
      <c r="UBD19" s="344"/>
      <c r="UBE19" s="344"/>
      <c r="UBF19" s="344"/>
      <c r="UBG19" s="344"/>
      <c r="UBH19" s="344"/>
      <c r="UBI19" s="344"/>
      <c r="UBJ19" s="344"/>
      <c r="UBK19" s="344"/>
      <c r="UBL19" s="344"/>
      <c r="UBM19" s="344"/>
      <c r="UBN19" s="344"/>
      <c r="UBO19" s="344"/>
      <c r="UBP19" s="344"/>
      <c r="UBQ19" s="344"/>
      <c r="UBR19" s="344"/>
      <c r="UBS19" s="344"/>
      <c r="UBT19" s="344"/>
      <c r="UBU19" s="344"/>
      <c r="UBV19" s="344"/>
      <c r="UBW19" s="344"/>
      <c r="UBX19" s="344"/>
      <c r="UBY19" s="344"/>
      <c r="UBZ19" s="344"/>
      <c r="UCA19" s="344"/>
      <c r="UCB19" s="344"/>
      <c r="UCC19" s="344"/>
      <c r="UCD19" s="344"/>
      <c r="UCE19" s="344"/>
      <c r="UCF19" s="344"/>
      <c r="UCG19" s="344"/>
      <c r="UCH19" s="344"/>
      <c r="UCI19" s="344"/>
      <c r="UCJ19" s="344"/>
      <c r="UCK19" s="344"/>
      <c r="UCL19" s="344"/>
      <c r="UCM19" s="344"/>
      <c r="UCN19" s="344"/>
      <c r="UCO19" s="344"/>
      <c r="UCP19" s="344"/>
      <c r="UCQ19" s="344"/>
      <c r="UCR19" s="344"/>
      <c r="UCS19" s="344"/>
      <c r="UCT19" s="344"/>
      <c r="UCU19" s="344"/>
      <c r="UCV19" s="344"/>
      <c r="UCW19" s="344"/>
      <c r="UCX19" s="344"/>
      <c r="UCY19" s="344"/>
      <c r="UCZ19" s="344"/>
      <c r="UDA19" s="344"/>
      <c r="UDB19" s="344"/>
      <c r="UDC19" s="344"/>
      <c r="UDD19" s="344"/>
      <c r="UDE19" s="344"/>
      <c r="UDF19" s="344"/>
      <c r="UDG19" s="344"/>
      <c r="UDH19" s="344"/>
      <c r="UDI19" s="344"/>
      <c r="UDJ19" s="344"/>
      <c r="UDK19" s="344"/>
      <c r="UDL19" s="344"/>
      <c r="UDM19" s="344"/>
      <c r="UDN19" s="344"/>
      <c r="UDO19" s="344"/>
      <c r="UDP19" s="344"/>
      <c r="UDQ19" s="344"/>
      <c r="UDR19" s="344"/>
      <c r="UDS19" s="344"/>
      <c r="UDT19" s="344"/>
      <c r="UDU19" s="344"/>
      <c r="UDV19" s="344"/>
      <c r="UDW19" s="344"/>
      <c r="UDX19" s="344"/>
      <c r="UDY19" s="344"/>
      <c r="UDZ19" s="344"/>
      <c r="UEA19" s="344"/>
      <c r="UEB19" s="344"/>
      <c r="UEC19" s="344"/>
      <c r="UED19" s="344"/>
      <c r="UEE19" s="344"/>
      <c r="UEF19" s="344"/>
      <c r="UEG19" s="344"/>
      <c r="UEH19" s="344"/>
      <c r="UEI19" s="344"/>
      <c r="UEJ19" s="344"/>
      <c r="UEK19" s="344"/>
      <c r="UEL19" s="344"/>
      <c r="UEM19" s="344"/>
      <c r="UEN19" s="344"/>
      <c r="UEO19" s="344"/>
      <c r="UEP19" s="344"/>
      <c r="UEQ19" s="344"/>
      <c r="UER19" s="344"/>
      <c r="UES19" s="344"/>
      <c r="UET19" s="344"/>
      <c r="UEU19" s="344"/>
      <c r="UEV19" s="344"/>
      <c r="UEW19" s="344"/>
      <c r="UEX19" s="344"/>
      <c r="UEY19" s="344"/>
      <c r="UEZ19" s="344"/>
      <c r="UFA19" s="344"/>
      <c r="UFB19" s="344"/>
      <c r="UFC19" s="344"/>
      <c r="UFD19" s="344"/>
      <c r="UFE19" s="344"/>
      <c r="UFF19" s="344"/>
      <c r="UFG19" s="344"/>
      <c r="UFH19" s="344"/>
      <c r="UFI19" s="344"/>
      <c r="UFJ19" s="344"/>
      <c r="UFK19" s="344"/>
      <c r="UFL19" s="344"/>
      <c r="UFM19" s="344"/>
      <c r="UFN19" s="344"/>
      <c r="UFO19" s="344"/>
      <c r="UFP19" s="344"/>
      <c r="UFQ19" s="344"/>
      <c r="UFR19" s="344"/>
      <c r="UFS19" s="344"/>
      <c r="UFT19" s="344"/>
      <c r="UFU19" s="344"/>
      <c r="UFV19" s="344"/>
      <c r="UFW19" s="344"/>
      <c r="UFX19" s="344"/>
      <c r="UFY19" s="344"/>
      <c r="UFZ19" s="344"/>
      <c r="UGA19" s="344"/>
      <c r="UGB19" s="344"/>
      <c r="UGC19" s="344"/>
      <c r="UGD19" s="344"/>
      <c r="UGE19" s="344"/>
      <c r="UGF19" s="344"/>
      <c r="UGG19" s="344"/>
      <c r="UGH19" s="344"/>
      <c r="UGI19" s="344"/>
      <c r="UGJ19" s="344"/>
      <c r="UGK19" s="344"/>
      <c r="UGL19" s="344"/>
      <c r="UGM19" s="344"/>
      <c r="UGN19" s="344"/>
      <c r="UGO19" s="344"/>
      <c r="UGP19" s="344"/>
      <c r="UGQ19" s="344"/>
      <c r="UGR19" s="344"/>
      <c r="UGS19" s="344"/>
      <c r="UGT19" s="344"/>
      <c r="UGU19" s="344"/>
      <c r="UGV19" s="344"/>
      <c r="UGW19" s="344"/>
      <c r="UGX19" s="344"/>
      <c r="UGY19" s="344"/>
      <c r="UGZ19" s="344"/>
      <c r="UHA19" s="344"/>
      <c r="UHB19" s="344"/>
      <c r="UHC19" s="344"/>
      <c r="UHD19" s="344"/>
      <c r="UHE19" s="344"/>
      <c r="UHF19" s="344"/>
      <c r="UHG19" s="344"/>
      <c r="UHH19" s="344"/>
      <c r="UHI19" s="344"/>
      <c r="UHJ19" s="344"/>
      <c r="UHK19" s="344"/>
      <c r="UHL19" s="344"/>
      <c r="UHM19" s="344"/>
      <c r="UHN19" s="344"/>
      <c r="UHO19" s="344"/>
      <c r="UHP19" s="344"/>
      <c r="UHQ19" s="344"/>
      <c r="UHR19" s="344"/>
      <c r="UHS19" s="344"/>
      <c r="UHT19" s="344"/>
      <c r="UHU19" s="344"/>
      <c r="UHV19" s="344"/>
      <c r="UHW19" s="344"/>
      <c r="UHX19" s="344"/>
      <c r="UHY19" s="344"/>
      <c r="UHZ19" s="344"/>
      <c r="UIA19" s="344"/>
      <c r="UIB19" s="344"/>
      <c r="UIC19" s="344"/>
      <c r="UID19" s="344"/>
      <c r="UIE19" s="344"/>
      <c r="UIF19" s="344"/>
      <c r="UIG19" s="344"/>
      <c r="UIH19" s="344"/>
      <c r="UII19" s="344"/>
      <c r="UIJ19" s="344"/>
      <c r="UIK19" s="344"/>
      <c r="UIL19" s="344"/>
      <c r="UIM19" s="344"/>
      <c r="UIN19" s="344"/>
      <c r="UIO19" s="344"/>
      <c r="UIP19" s="344"/>
      <c r="UIQ19" s="344"/>
      <c r="UIR19" s="344"/>
      <c r="UIS19" s="344"/>
      <c r="UIT19" s="344"/>
      <c r="UIU19" s="344"/>
      <c r="UIV19" s="344"/>
      <c r="UIW19" s="344"/>
      <c r="UIX19" s="344"/>
      <c r="UIY19" s="344"/>
      <c r="UIZ19" s="344"/>
      <c r="UJA19" s="344"/>
      <c r="UJB19" s="344"/>
      <c r="UJC19" s="344"/>
      <c r="UJD19" s="344"/>
      <c r="UJE19" s="344"/>
      <c r="UJF19" s="344"/>
      <c r="UJG19" s="344"/>
      <c r="UJH19" s="344"/>
      <c r="UJI19" s="344"/>
      <c r="UJJ19" s="344"/>
      <c r="UJK19" s="344"/>
      <c r="UJL19" s="344"/>
      <c r="UJM19" s="344"/>
      <c r="UJN19" s="344"/>
      <c r="UJO19" s="344"/>
      <c r="UJP19" s="344"/>
      <c r="UJQ19" s="344"/>
      <c r="UJR19" s="344"/>
      <c r="UJS19" s="344"/>
      <c r="UJT19" s="344"/>
      <c r="UJU19" s="344"/>
      <c r="UJV19" s="344"/>
      <c r="UJW19" s="344"/>
      <c r="UJX19" s="344"/>
      <c r="UJY19" s="344"/>
      <c r="UJZ19" s="344"/>
      <c r="UKA19" s="344"/>
      <c r="UKB19" s="344"/>
      <c r="UKC19" s="344"/>
      <c r="UKD19" s="344"/>
      <c r="UKE19" s="344"/>
      <c r="UKF19" s="344"/>
      <c r="UKG19" s="344"/>
      <c r="UKH19" s="344"/>
      <c r="UKI19" s="344"/>
      <c r="UKJ19" s="344"/>
      <c r="UKK19" s="344"/>
      <c r="UKL19" s="344"/>
      <c r="UKM19" s="344"/>
      <c r="UKN19" s="344"/>
      <c r="UKO19" s="344"/>
      <c r="UKP19" s="344"/>
      <c r="UKQ19" s="344"/>
      <c r="UKR19" s="344"/>
      <c r="UKS19" s="344"/>
      <c r="UKT19" s="344"/>
      <c r="UKU19" s="344"/>
      <c r="UKV19" s="344"/>
      <c r="UKW19" s="344"/>
      <c r="UKX19" s="344"/>
      <c r="UKY19" s="344"/>
      <c r="UKZ19" s="344"/>
      <c r="ULA19" s="344"/>
      <c r="ULB19" s="344"/>
      <c r="ULC19" s="344"/>
      <c r="ULD19" s="344"/>
      <c r="ULE19" s="344"/>
      <c r="ULF19" s="344"/>
      <c r="ULG19" s="344"/>
      <c r="ULH19" s="344"/>
      <c r="ULI19" s="344"/>
      <c r="ULJ19" s="344"/>
      <c r="ULK19" s="344"/>
      <c r="ULL19" s="344"/>
      <c r="ULM19" s="344"/>
      <c r="ULN19" s="344"/>
      <c r="ULO19" s="344"/>
      <c r="ULP19" s="344"/>
      <c r="ULQ19" s="344"/>
      <c r="ULR19" s="344"/>
      <c r="ULS19" s="344"/>
      <c r="ULT19" s="344"/>
      <c r="ULU19" s="344"/>
      <c r="ULV19" s="344"/>
      <c r="ULW19" s="344"/>
      <c r="ULX19" s="344"/>
      <c r="ULY19" s="344"/>
      <c r="ULZ19" s="344"/>
      <c r="UMA19" s="344"/>
      <c r="UMB19" s="344"/>
      <c r="UMC19" s="344"/>
      <c r="UMD19" s="344"/>
      <c r="UME19" s="344"/>
      <c r="UMF19" s="344"/>
      <c r="UMG19" s="344"/>
      <c r="UMH19" s="344"/>
      <c r="UMI19" s="344"/>
      <c r="UMJ19" s="344"/>
      <c r="UMK19" s="344"/>
      <c r="UML19" s="344"/>
      <c r="UMM19" s="344"/>
      <c r="UMN19" s="344"/>
      <c r="UMO19" s="344"/>
      <c r="UMP19" s="344"/>
      <c r="UMQ19" s="344"/>
      <c r="UMR19" s="344"/>
      <c r="UMS19" s="344"/>
      <c r="UMT19" s="344"/>
      <c r="UMU19" s="344"/>
      <c r="UMV19" s="344"/>
      <c r="UMW19" s="344"/>
      <c r="UMX19" s="344"/>
      <c r="UMY19" s="344"/>
      <c r="UMZ19" s="344"/>
      <c r="UNA19" s="344"/>
      <c r="UNB19" s="344"/>
      <c r="UNC19" s="344"/>
      <c r="UND19" s="344"/>
      <c r="UNE19" s="344"/>
      <c r="UNF19" s="344"/>
      <c r="UNG19" s="344"/>
      <c r="UNH19" s="344"/>
      <c r="UNI19" s="344"/>
      <c r="UNJ19" s="344"/>
      <c r="UNK19" s="344"/>
      <c r="UNL19" s="344"/>
      <c r="UNM19" s="344"/>
      <c r="UNN19" s="344"/>
      <c r="UNO19" s="344"/>
      <c r="UNP19" s="344"/>
      <c r="UNQ19" s="344"/>
      <c r="UNR19" s="344"/>
      <c r="UNS19" s="344"/>
      <c r="UNT19" s="344"/>
      <c r="UNU19" s="344"/>
      <c r="UNV19" s="344"/>
      <c r="UNW19" s="344"/>
      <c r="UNX19" s="344"/>
      <c r="UNY19" s="344"/>
      <c r="UNZ19" s="344"/>
      <c r="UOA19" s="344"/>
      <c r="UOB19" s="344"/>
      <c r="UOC19" s="344"/>
      <c r="UOD19" s="344"/>
      <c r="UOE19" s="344"/>
      <c r="UOF19" s="344"/>
      <c r="UOG19" s="344"/>
      <c r="UOH19" s="344"/>
      <c r="UOI19" s="344"/>
      <c r="UOJ19" s="344"/>
      <c r="UOK19" s="344"/>
      <c r="UOL19" s="344"/>
      <c r="UOM19" s="344"/>
      <c r="UON19" s="344"/>
      <c r="UOO19" s="344"/>
      <c r="UOP19" s="344"/>
      <c r="UOQ19" s="344"/>
      <c r="UOR19" s="344"/>
      <c r="UOS19" s="344"/>
      <c r="UOT19" s="344"/>
      <c r="UOU19" s="344"/>
      <c r="UOV19" s="344"/>
      <c r="UOW19" s="344"/>
      <c r="UOX19" s="344"/>
      <c r="UOY19" s="344"/>
      <c r="UOZ19" s="344"/>
      <c r="UPA19" s="344"/>
      <c r="UPB19" s="344"/>
      <c r="UPC19" s="344"/>
      <c r="UPD19" s="344"/>
      <c r="UPE19" s="344"/>
      <c r="UPF19" s="344"/>
      <c r="UPG19" s="344"/>
      <c r="UPH19" s="344"/>
      <c r="UPI19" s="344"/>
      <c r="UPJ19" s="344"/>
      <c r="UPK19" s="344"/>
      <c r="UPL19" s="344"/>
      <c r="UPM19" s="344"/>
      <c r="UPN19" s="344"/>
      <c r="UPO19" s="344"/>
      <c r="UPP19" s="344"/>
      <c r="UPQ19" s="344"/>
      <c r="UPR19" s="344"/>
      <c r="UPS19" s="344"/>
      <c r="UPT19" s="344"/>
      <c r="UPU19" s="344"/>
      <c r="UPV19" s="344"/>
      <c r="UPW19" s="344"/>
      <c r="UPX19" s="344"/>
      <c r="UPY19" s="344"/>
      <c r="UPZ19" s="344"/>
      <c r="UQA19" s="344"/>
      <c r="UQB19" s="344"/>
      <c r="UQC19" s="344"/>
      <c r="UQD19" s="344"/>
      <c r="UQE19" s="344"/>
      <c r="UQF19" s="344"/>
      <c r="UQG19" s="344"/>
      <c r="UQH19" s="344"/>
      <c r="UQI19" s="344"/>
      <c r="UQJ19" s="344"/>
      <c r="UQK19" s="344"/>
      <c r="UQL19" s="344"/>
      <c r="UQM19" s="344"/>
      <c r="UQN19" s="344"/>
      <c r="UQO19" s="344"/>
      <c r="UQP19" s="344"/>
      <c r="UQQ19" s="344"/>
      <c r="UQR19" s="344"/>
      <c r="UQS19" s="344"/>
      <c r="UQT19" s="344"/>
      <c r="UQU19" s="344"/>
      <c r="UQV19" s="344"/>
      <c r="UQW19" s="344"/>
      <c r="UQX19" s="344"/>
      <c r="UQY19" s="344"/>
      <c r="UQZ19" s="344"/>
      <c r="URA19" s="344"/>
      <c r="URB19" s="344"/>
      <c r="URC19" s="344"/>
      <c r="URD19" s="344"/>
      <c r="URE19" s="344"/>
      <c r="URF19" s="344"/>
      <c r="URG19" s="344"/>
      <c r="URH19" s="344"/>
      <c r="URI19" s="344"/>
      <c r="URJ19" s="344"/>
      <c r="URK19" s="344"/>
      <c r="URL19" s="344"/>
      <c r="URM19" s="344"/>
      <c r="URN19" s="344"/>
      <c r="URO19" s="344"/>
      <c r="URP19" s="344"/>
      <c r="URQ19" s="344"/>
      <c r="URR19" s="344"/>
      <c r="URS19" s="344"/>
      <c r="URT19" s="344"/>
      <c r="URU19" s="344"/>
      <c r="URV19" s="344"/>
      <c r="URW19" s="344"/>
      <c r="URX19" s="344"/>
      <c r="URY19" s="344"/>
      <c r="URZ19" s="344"/>
      <c r="USA19" s="344"/>
      <c r="USB19" s="344"/>
      <c r="USC19" s="344"/>
      <c r="USD19" s="344"/>
      <c r="USE19" s="344"/>
      <c r="USF19" s="344"/>
      <c r="USG19" s="344"/>
      <c r="USH19" s="344"/>
      <c r="USI19" s="344"/>
      <c r="USJ19" s="344"/>
      <c r="USK19" s="344"/>
      <c r="USL19" s="344"/>
      <c r="USM19" s="344"/>
      <c r="USN19" s="344"/>
      <c r="USO19" s="344"/>
      <c r="USP19" s="344"/>
      <c r="USQ19" s="344"/>
      <c r="USR19" s="344"/>
      <c r="USS19" s="344"/>
      <c r="UST19" s="344"/>
      <c r="USU19" s="344"/>
      <c r="USV19" s="344"/>
      <c r="USW19" s="344"/>
      <c r="USX19" s="344"/>
      <c r="USY19" s="344"/>
      <c r="USZ19" s="344"/>
      <c r="UTA19" s="344"/>
      <c r="UTB19" s="344"/>
      <c r="UTC19" s="344"/>
      <c r="UTD19" s="344"/>
      <c r="UTE19" s="344"/>
      <c r="UTF19" s="344"/>
      <c r="UTG19" s="344"/>
      <c r="UTH19" s="344"/>
      <c r="UTI19" s="344"/>
      <c r="UTJ19" s="344"/>
      <c r="UTK19" s="344"/>
      <c r="UTL19" s="344"/>
      <c r="UTM19" s="344"/>
      <c r="UTN19" s="344"/>
      <c r="UTO19" s="344"/>
      <c r="UTP19" s="344"/>
      <c r="UTQ19" s="344"/>
      <c r="UTR19" s="344"/>
      <c r="UTS19" s="344"/>
      <c r="UTT19" s="344"/>
      <c r="UTU19" s="344"/>
      <c r="UTV19" s="344"/>
      <c r="UTW19" s="344"/>
      <c r="UTX19" s="344"/>
      <c r="UTY19" s="344"/>
      <c r="UTZ19" s="344"/>
      <c r="UUA19" s="344"/>
      <c r="UUB19" s="344"/>
      <c r="UUC19" s="344"/>
      <c r="UUD19" s="344"/>
      <c r="UUE19" s="344"/>
      <c r="UUF19" s="344"/>
      <c r="UUG19" s="344"/>
      <c r="UUH19" s="344"/>
      <c r="UUI19" s="344"/>
      <c r="UUJ19" s="344"/>
      <c r="UUK19" s="344"/>
      <c r="UUL19" s="344"/>
      <c r="UUM19" s="344"/>
      <c r="UUN19" s="344"/>
      <c r="UUO19" s="344"/>
      <c r="UUP19" s="344"/>
      <c r="UUQ19" s="344"/>
      <c r="UUR19" s="344"/>
      <c r="UUS19" s="344"/>
      <c r="UUT19" s="344"/>
      <c r="UUU19" s="344"/>
      <c r="UUV19" s="344"/>
      <c r="UUW19" s="344"/>
      <c r="UUX19" s="344"/>
      <c r="UUY19" s="344"/>
      <c r="UUZ19" s="344"/>
      <c r="UVA19" s="344"/>
      <c r="UVB19" s="344"/>
      <c r="UVC19" s="344"/>
      <c r="UVD19" s="344"/>
      <c r="UVE19" s="344"/>
      <c r="UVF19" s="344"/>
      <c r="UVG19" s="344"/>
      <c r="UVH19" s="344"/>
      <c r="UVI19" s="344"/>
      <c r="UVJ19" s="344"/>
      <c r="UVK19" s="344"/>
      <c r="UVL19" s="344"/>
      <c r="UVM19" s="344"/>
      <c r="UVN19" s="344"/>
      <c r="UVO19" s="344"/>
      <c r="UVP19" s="344"/>
      <c r="UVQ19" s="344"/>
      <c r="UVR19" s="344"/>
      <c r="UVS19" s="344"/>
      <c r="UVT19" s="344"/>
      <c r="UVU19" s="344"/>
      <c r="UVV19" s="344"/>
      <c r="UVW19" s="344"/>
      <c r="UVX19" s="344"/>
      <c r="UVY19" s="344"/>
      <c r="UVZ19" s="344"/>
      <c r="UWA19" s="344"/>
      <c r="UWB19" s="344"/>
      <c r="UWC19" s="344"/>
      <c r="UWD19" s="344"/>
      <c r="UWE19" s="344"/>
      <c r="UWF19" s="344"/>
      <c r="UWG19" s="344"/>
      <c r="UWH19" s="344"/>
      <c r="UWI19" s="344"/>
      <c r="UWJ19" s="344"/>
      <c r="UWK19" s="344"/>
      <c r="UWL19" s="344"/>
      <c r="UWM19" s="344"/>
      <c r="UWN19" s="344"/>
      <c r="UWO19" s="344"/>
      <c r="UWP19" s="344"/>
      <c r="UWQ19" s="344"/>
      <c r="UWR19" s="344"/>
      <c r="UWS19" s="344"/>
      <c r="UWT19" s="344"/>
      <c r="UWU19" s="344"/>
      <c r="UWV19" s="344"/>
      <c r="UWW19" s="344"/>
      <c r="UWX19" s="344"/>
      <c r="UWY19" s="344"/>
      <c r="UWZ19" s="344"/>
      <c r="UXA19" s="344"/>
      <c r="UXB19" s="344"/>
      <c r="UXC19" s="344"/>
      <c r="UXD19" s="344"/>
      <c r="UXE19" s="344"/>
      <c r="UXF19" s="344"/>
      <c r="UXG19" s="344"/>
      <c r="UXH19" s="344"/>
      <c r="UXI19" s="344"/>
      <c r="UXJ19" s="344"/>
      <c r="UXK19" s="344"/>
      <c r="UXL19" s="344"/>
      <c r="UXM19" s="344"/>
      <c r="UXN19" s="344"/>
      <c r="UXO19" s="344"/>
      <c r="UXP19" s="344"/>
      <c r="UXQ19" s="344"/>
      <c r="UXR19" s="344"/>
      <c r="UXS19" s="344"/>
      <c r="UXT19" s="344"/>
      <c r="UXU19" s="344"/>
      <c r="UXV19" s="344"/>
      <c r="UXW19" s="344"/>
      <c r="UXX19" s="344"/>
      <c r="UXY19" s="344"/>
      <c r="UXZ19" s="344"/>
      <c r="UYA19" s="344"/>
      <c r="UYB19" s="344"/>
      <c r="UYC19" s="344"/>
      <c r="UYD19" s="344"/>
      <c r="UYE19" s="344"/>
      <c r="UYF19" s="344"/>
      <c r="UYG19" s="344"/>
      <c r="UYH19" s="344"/>
      <c r="UYI19" s="344"/>
      <c r="UYJ19" s="344"/>
      <c r="UYK19" s="344"/>
      <c r="UYL19" s="344"/>
      <c r="UYM19" s="344"/>
      <c r="UYN19" s="344"/>
      <c r="UYO19" s="344"/>
      <c r="UYP19" s="344"/>
      <c r="UYQ19" s="344"/>
      <c r="UYR19" s="344"/>
      <c r="UYS19" s="344"/>
      <c r="UYT19" s="344"/>
      <c r="UYU19" s="344"/>
      <c r="UYV19" s="344"/>
      <c r="UYW19" s="344"/>
      <c r="UYX19" s="344"/>
      <c r="UYY19" s="344"/>
      <c r="UYZ19" s="344"/>
      <c r="UZA19" s="344"/>
      <c r="UZB19" s="344"/>
      <c r="UZC19" s="344"/>
      <c r="UZD19" s="344"/>
      <c r="UZE19" s="344"/>
      <c r="UZF19" s="344"/>
      <c r="UZG19" s="344"/>
      <c r="UZH19" s="344"/>
      <c r="UZI19" s="344"/>
      <c r="UZJ19" s="344"/>
      <c r="UZK19" s="344"/>
      <c r="UZL19" s="344"/>
      <c r="UZM19" s="344"/>
      <c r="UZN19" s="344"/>
      <c r="UZO19" s="344"/>
      <c r="UZP19" s="344"/>
      <c r="UZQ19" s="344"/>
      <c r="UZR19" s="344"/>
      <c r="UZS19" s="344"/>
      <c r="UZT19" s="344"/>
      <c r="UZU19" s="344"/>
      <c r="UZV19" s="344"/>
      <c r="UZW19" s="344"/>
      <c r="UZX19" s="344"/>
      <c r="UZY19" s="344"/>
      <c r="UZZ19" s="344"/>
      <c r="VAA19" s="344"/>
      <c r="VAB19" s="344"/>
      <c r="VAC19" s="344"/>
      <c r="VAD19" s="344"/>
      <c r="VAE19" s="344"/>
      <c r="VAF19" s="344"/>
      <c r="VAG19" s="344"/>
      <c r="VAH19" s="344"/>
      <c r="VAI19" s="344"/>
      <c r="VAJ19" s="344"/>
      <c r="VAK19" s="344"/>
      <c r="VAL19" s="344"/>
      <c r="VAM19" s="344"/>
      <c r="VAN19" s="344"/>
      <c r="VAO19" s="344"/>
      <c r="VAP19" s="344"/>
      <c r="VAQ19" s="344"/>
      <c r="VAR19" s="344"/>
      <c r="VAS19" s="344"/>
      <c r="VAT19" s="344"/>
      <c r="VAU19" s="344"/>
      <c r="VAV19" s="344"/>
      <c r="VAW19" s="344"/>
      <c r="VAX19" s="344"/>
      <c r="VAY19" s="344"/>
      <c r="VAZ19" s="344"/>
      <c r="VBA19" s="344"/>
      <c r="VBB19" s="344"/>
      <c r="VBC19" s="344"/>
      <c r="VBD19" s="344"/>
      <c r="VBE19" s="344"/>
      <c r="VBF19" s="344"/>
      <c r="VBG19" s="344"/>
      <c r="VBH19" s="344"/>
      <c r="VBI19" s="344"/>
      <c r="VBJ19" s="344"/>
      <c r="VBK19" s="344"/>
      <c r="VBL19" s="344"/>
      <c r="VBM19" s="344"/>
      <c r="VBN19" s="344"/>
      <c r="VBO19" s="344"/>
      <c r="VBP19" s="344"/>
      <c r="VBQ19" s="344"/>
      <c r="VBR19" s="344"/>
      <c r="VBS19" s="344"/>
      <c r="VBT19" s="344"/>
      <c r="VBU19" s="344"/>
      <c r="VBV19" s="344"/>
      <c r="VBW19" s="344"/>
      <c r="VBX19" s="344"/>
      <c r="VBY19" s="344"/>
      <c r="VBZ19" s="344"/>
      <c r="VCA19" s="344"/>
      <c r="VCB19" s="344"/>
      <c r="VCC19" s="344"/>
      <c r="VCD19" s="344"/>
      <c r="VCE19" s="344"/>
      <c r="VCF19" s="344"/>
      <c r="VCG19" s="344"/>
      <c r="VCH19" s="344"/>
      <c r="VCI19" s="344"/>
      <c r="VCJ19" s="344"/>
      <c r="VCK19" s="344"/>
      <c r="VCL19" s="344"/>
      <c r="VCM19" s="344"/>
      <c r="VCN19" s="344"/>
      <c r="VCO19" s="344"/>
      <c r="VCP19" s="344"/>
      <c r="VCQ19" s="344"/>
      <c r="VCR19" s="344"/>
      <c r="VCS19" s="344"/>
      <c r="VCT19" s="344"/>
      <c r="VCU19" s="344"/>
      <c r="VCV19" s="344"/>
      <c r="VCW19" s="344"/>
      <c r="VCX19" s="344"/>
      <c r="VCY19" s="344"/>
      <c r="VCZ19" s="344"/>
      <c r="VDA19" s="344"/>
      <c r="VDB19" s="344"/>
      <c r="VDC19" s="344"/>
      <c r="VDD19" s="344"/>
      <c r="VDE19" s="344"/>
      <c r="VDF19" s="344"/>
      <c r="VDG19" s="344"/>
      <c r="VDH19" s="344"/>
      <c r="VDI19" s="344"/>
      <c r="VDJ19" s="344"/>
      <c r="VDK19" s="344"/>
      <c r="VDL19" s="344"/>
      <c r="VDM19" s="344"/>
      <c r="VDN19" s="344"/>
      <c r="VDO19" s="344"/>
      <c r="VDP19" s="344"/>
      <c r="VDQ19" s="344"/>
      <c r="VDR19" s="344"/>
      <c r="VDS19" s="344"/>
      <c r="VDT19" s="344"/>
      <c r="VDU19" s="344"/>
      <c r="VDV19" s="344"/>
      <c r="VDW19" s="344"/>
      <c r="VDX19" s="344"/>
      <c r="VDY19" s="344"/>
      <c r="VDZ19" s="344"/>
      <c r="VEA19" s="344"/>
      <c r="VEB19" s="344"/>
      <c r="VEC19" s="344"/>
      <c r="VED19" s="344"/>
      <c r="VEE19" s="344"/>
      <c r="VEF19" s="344"/>
      <c r="VEG19" s="344"/>
      <c r="VEH19" s="344"/>
      <c r="VEI19" s="344"/>
      <c r="VEJ19" s="344"/>
      <c r="VEK19" s="344"/>
      <c r="VEL19" s="344"/>
      <c r="VEM19" s="344"/>
      <c r="VEN19" s="344"/>
      <c r="VEO19" s="344"/>
      <c r="VEP19" s="344"/>
      <c r="VEQ19" s="344"/>
      <c r="VER19" s="344"/>
      <c r="VES19" s="344"/>
      <c r="VET19" s="344"/>
      <c r="VEU19" s="344"/>
      <c r="VEV19" s="344"/>
      <c r="VEW19" s="344"/>
      <c r="VEX19" s="344"/>
      <c r="VEY19" s="344"/>
      <c r="VEZ19" s="344"/>
      <c r="VFA19" s="344"/>
      <c r="VFB19" s="344"/>
      <c r="VFC19" s="344"/>
      <c r="VFD19" s="344"/>
      <c r="VFE19" s="344"/>
      <c r="VFF19" s="344"/>
      <c r="VFG19" s="344"/>
      <c r="VFH19" s="344"/>
      <c r="VFI19" s="344"/>
      <c r="VFJ19" s="344"/>
      <c r="VFK19" s="344"/>
      <c r="VFL19" s="344"/>
      <c r="VFM19" s="344"/>
      <c r="VFN19" s="344"/>
      <c r="VFO19" s="344"/>
      <c r="VFP19" s="344"/>
      <c r="VFQ19" s="344"/>
      <c r="VFR19" s="344"/>
      <c r="VFS19" s="344"/>
      <c r="VFT19" s="344"/>
      <c r="VFU19" s="344"/>
      <c r="VFV19" s="344"/>
      <c r="VFW19" s="344"/>
      <c r="VFX19" s="344"/>
      <c r="VFY19" s="344"/>
      <c r="VFZ19" s="344"/>
      <c r="VGA19" s="344"/>
      <c r="VGB19" s="344"/>
      <c r="VGC19" s="344"/>
      <c r="VGD19" s="344"/>
      <c r="VGE19" s="344"/>
      <c r="VGF19" s="344"/>
      <c r="VGG19" s="344"/>
      <c r="VGH19" s="344"/>
      <c r="VGI19" s="344"/>
      <c r="VGJ19" s="344"/>
      <c r="VGK19" s="344"/>
      <c r="VGL19" s="344"/>
      <c r="VGM19" s="344"/>
      <c r="VGN19" s="344"/>
      <c r="VGO19" s="344"/>
      <c r="VGP19" s="344"/>
      <c r="VGQ19" s="344"/>
      <c r="VGR19" s="344"/>
      <c r="VGS19" s="344"/>
      <c r="VGT19" s="344"/>
      <c r="VGU19" s="344"/>
      <c r="VGV19" s="344"/>
      <c r="VGW19" s="344"/>
      <c r="VGX19" s="344"/>
      <c r="VGY19" s="344"/>
      <c r="VGZ19" s="344"/>
      <c r="VHA19" s="344"/>
      <c r="VHB19" s="344"/>
      <c r="VHC19" s="344"/>
      <c r="VHD19" s="344"/>
      <c r="VHE19" s="344"/>
      <c r="VHF19" s="344"/>
      <c r="VHG19" s="344"/>
      <c r="VHH19" s="344"/>
      <c r="VHI19" s="344"/>
      <c r="VHJ19" s="344"/>
      <c r="VHK19" s="344"/>
      <c r="VHL19" s="344"/>
      <c r="VHM19" s="344"/>
      <c r="VHN19" s="344"/>
      <c r="VHO19" s="344"/>
      <c r="VHP19" s="344"/>
      <c r="VHQ19" s="344"/>
      <c r="VHR19" s="344"/>
      <c r="VHS19" s="344"/>
      <c r="VHT19" s="344"/>
      <c r="VHU19" s="344"/>
      <c r="VHV19" s="344"/>
      <c r="VHW19" s="344"/>
      <c r="VHX19" s="344"/>
      <c r="VHY19" s="344"/>
      <c r="VHZ19" s="344"/>
      <c r="VIA19" s="344"/>
      <c r="VIB19" s="344"/>
      <c r="VIC19" s="344"/>
      <c r="VID19" s="344"/>
      <c r="VIE19" s="344"/>
      <c r="VIF19" s="344"/>
      <c r="VIG19" s="344"/>
      <c r="VIH19" s="344"/>
      <c r="VII19" s="344"/>
      <c r="VIJ19" s="344"/>
      <c r="VIK19" s="344"/>
      <c r="VIL19" s="344"/>
      <c r="VIM19" s="344"/>
      <c r="VIN19" s="344"/>
      <c r="VIO19" s="344"/>
      <c r="VIP19" s="344"/>
      <c r="VIQ19" s="344"/>
      <c r="VIR19" s="344"/>
      <c r="VIS19" s="344"/>
      <c r="VIT19" s="344"/>
      <c r="VIU19" s="344"/>
      <c r="VIV19" s="344"/>
      <c r="VIW19" s="344"/>
      <c r="VIX19" s="344"/>
      <c r="VIY19" s="344"/>
      <c r="VIZ19" s="344"/>
      <c r="VJA19" s="344"/>
      <c r="VJB19" s="344"/>
      <c r="VJC19" s="344"/>
      <c r="VJD19" s="344"/>
      <c r="VJE19" s="344"/>
      <c r="VJF19" s="344"/>
      <c r="VJG19" s="344"/>
      <c r="VJH19" s="344"/>
      <c r="VJI19" s="344"/>
      <c r="VJJ19" s="344"/>
      <c r="VJK19" s="344"/>
      <c r="VJL19" s="344"/>
      <c r="VJM19" s="344"/>
      <c r="VJN19" s="344"/>
      <c r="VJO19" s="344"/>
      <c r="VJP19" s="344"/>
      <c r="VJQ19" s="344"/>
      <c r="VJR19" s="344"/>
      <c r="VJS19" s="344"/>
      <c r="VJT19" s="344"/>
      <c r="VJU19" s="344"/>
      <c r="VJV19" s="344"/>
      <c r="VJW19" s="344"/>
      <c r="VJX19" s="344"/>
      <c r="VJY19" s="344"/>
      <c r="VJZ19" s="344"/>
      <c r="VKA19" s="344"/>
      <c r="VKB19" s="344"/>
      <c r="VKC19" s="344"/>
      <c r="VKD19" s="344"/>
      <c r="VKE19" s="344"/>
      <c r="VKF19" s="344"/>
      <c r="VKG19" s="344"/>
      <c r="VKH19" s="344"/>
      <c r="VKI19" s="344"/>
      <c r="VKJ19" s="344"/>
      <c r="VKK19" s="344"/>
      <c r="VKL19" s="344"/>
      <c r="VKM19" s="344"/>
      <c r="VKN19" s="344"/>
      <c r="VKO19" s="344"/>
      <c r="VKP19" s="344"/>
      <c r="VKQ19" s="344"/>
      <c r="VKR19" s="344"/>
      <c r="VKS19" s="344"/>
      <c r="VKT19" s="344"/>
      <c r="VKU19" s="344"/>
      <c r="VKV19" s="344"/>
      <c r="VKW19" s="344"/>
      <c r="VKX19" s="344"/>
      <c r="VKY19" s="344"/>
      <c r="VKZ19" s="344"/>
      <c r="VLA19" s="344"/>
      <c r="VLB19" s="344"/>
      <c r="VLC19" s="344"/>
      <c r="VLD19" s="344"/>
      <c r="VLE19" s="344"/>
      <c r="VLF19" s="344"/>
      <c r="VLG19" s="344"/>
      <c r="VLH19" s="344"/>
      <c r="VLI19" s="344"/>
      <c r="VLJ19" s="344"/>
      <c r="VLK19" s="344"/>
      <c r="VLL19" s="344"/>
      <c r="VLM19" s="344"/>
      <c r="VLN19" s="344"/>
      <c r="VLO19" s="344"/>
      <c r="VLP19" s="344"/>
      <c r="VLQ19" s="344"/>
      <c r="VLR19" s="344"/>
      <c r="VLS19" s="344"/>
      <c r="VLT19" s="344"/>
      <c r="VLU19" s="344"/>
      <c r="VLV19" s="344"/>
      <c r="VLW19" s="344"/>
      <c r="VLX19" s="344"/>
      <c r="VLY19" s="344"/>
      <c r="VLZ19" s="344"/>
      <c r="VMA19" s="344"/>
      <c r="VMB19" s="344"/>
      <c r="VMC19" s="344"/>
      <c r="VMD19" s="344"/>
      <c r="VME19" s="344"/>
      <c r="VMF19" s="344"/>
      <c r="VMG19" s="344"/>
      <c r="VMH19" s="344"/>
      <c r="VMI19" s="344"/>
      <c r="VMJ19" s="344"/>
      <c r="VMK19" s="344"/>
      <c r="VML19" s="344"/>
      <c r="VMM19" s="344"/>
      <c r="VMN19" s="344"/>
      <c r="VMO19" s="344"/>
      <c r="VMP19" s="344"/>
      <c r="VMQ19" s="344"/>
      <c r="VMR19" s="344"/>
      <c r="VMS19" s="344"/>
      <c r="VMT19" s="344"/>
      <c r="VMU19" s="344"/>
      <c r="VMV19" s="344"/>
      <c r="VMW19" s="344"/>
      <c r="VMX19" s="344"/>
      <c r="VMY19" s="344"/>
      <c r="VMZ19" s="344"/>
      <c r="VNA19" s="344"/>
      <c r="VNB19" s="344"/>
      <c r="VNC19" s="344"/>
      <c r="VND19" s="344"/>
      <c r="VNE19" s="344"/>
      <c r="VNF19" s="344"/>
      <c r="VNG19" s="344"/>
      <c r="VNH19" s="344"/>
      <c r="VNI19" s="344"/>
      <c r="VNJ19" s="344"/>
      <c r="VNK19" s="344"/>
      <c r="VNL19" s="344"/>
      <c r="VNM19" s="344"/>
      <c r="VNN19" s="344"/>
      <c r="VNO19" s="344"/>
      <c r="VNP19" s="344"/>
      <c r="VNQ19" s="344"/>
      <c r="VNR19" s="344"/>
      <c r="VNS19" s="344"/>
      <c r="VNT19" s="344"/>
      <c r="VNU19" s="344"/>
      <c r="VNV19" s="344"/>
      <c r="VNW19" s="344"/>
      <c r="VNX19" s="344"/>
      <c r="VNY19" s="344"/>
      <c r="VNZ19" s="344"/>
      <c r="VOA19" s="344"/>
      <c r="VOB19" s="344"/>
      <c r="VOC19" s="344"/>
      <c r="VOD19" s="344"/>
      <c r="VOE19" s="344"/>
      <c r="VOF19" s="344"/>
      <c r="VOG19" s="344"/>
      <c r="VOH19" s="344"/>
      <c r="VOI19" s="344"/>
      <c r="VOJ19" s="344"/>
      <c r="VOK19" s="344"/>
      <c r="VOL19" s="344"/>
      <c r="VOM19" s="344"/>
      <c r="VON19" s="344"/>
      <c r="VOO19" s="344"/>
      <c r="VOP19" s="344"/>
      <c r="VOQ19" s="344"/>
      <c r="VOR19" s="344"/>
      <c r="VOS19" s="344"/>
      <c r="VOT19" s="344"/>
      <c r="VOU19" s="344"/>
      <c r="VOV19" s="344"/>
      <c r="VOW19" s="344"/>
      <c r="VOX19" s="344"/>
      <c r="VOY19" s="344"/>
      <c r="VOZ19" s="344"/>
      <c r="VPA19" s="344"/>
      <c r="VPB19" s="344"/>
      <c r="VPC19" s="344"/>
      <c r="VPD19" s="344"/>
      <c r="VPE19" s="344"/>
      <c r="VPF19" s="344"/>
      <c r="VPG19" s="344"/>
      <c r="VPH19" s="344"/>
      <c r="VPI19" s="344"/>
      <c r="VPJ19" s="344"/>
      <c r="VPK19" s="344"/>
      <c r="VPL19" s="344"/>
      <c r="VPM19" s="344"/>
      <c r="VPN19" s="344"/>
      <c r="VPO19" s="344"/>
      <c r="VPP19" s="344"/>
      <c r="VPQ19" s="344"/>
      <c r="VPR19" s="344"/>
      <c r="VPS19" s="344"/>
      <c r="VPT19" s="344"/>
      <c r="VPU19" s="344"/>
      <c r="VPV19" s="344"/>
      <c r="VPW19" s="344"/>
      <c r="VPX19" s="344"/>
      <c r="VPY19" s="344"/>
      <c r="VPZ19" s="344"/>
      <c r="VQA19" s="344"/>
      <c r="VQB19" s="344"/>
      <c r="VQC19" s="344"/>
      <c r="VQD19" s="344"/>
      <c r="VQE19" s="344"/>
      <c r="VQF19" s="344"/>
      <c r="VQG19" s="344"/>
      <c r="VQH19" s="344"/>
      <c r="VQI19" s="344"/>
      <c r="VQJ19" s="344"/>
      <c r="VQK19" s="344"/>
      <c r="VQL19" s="344"/>
      <c r="VQM19" s="344"/>
      <c r="VQN19" s="344"/>
      <c r="VQO19" s="344"/>
      <c r="VQP19" s="344"/>
      <c r="VQQ19" s="344"/>
      <c r="VQR19" s="344"/>
      <c r="VQS19" s="344"/>
      <c r="VQT19" s="344"/>
      <c r="VQU19" s="344"/>
      <c r="VQV19" s="344"/>
      <c r="VQW19" s="344"/>
      <c r="VQX19" s="344"/>
      <c r="VQY19" s="344"/>
      <c r="VQZ19" s="344"/>
      <c r="VRA19" s="344"/>
      <c r="VRB19" s="344"/>
      <c r="VRC19" s="344"/>
      <c r="VRD19" s="344"/>
      <c r="VRE19" s="344"/>
      <c r="VRF19" s="344"/>
      <c r="VRG19" s="344"/>
      <c r="VRH19" s="344"/>
      <c r="VRI19" s="344"/>
      <c r="VRJ19" s="344"/>
      <c r="VRK19" s="344"/>
      <c r="VRL19" s="344"/>
      <c r="VRM19" s="344"/>
      <c r="VRN19" s="344"/>
      <c r="VRO19" s="344"/>
      <c r="VRP19" s="344"/>
      <c r="VRQ19" s="344"/>
      <c r="VRR19" s="344"/>
      <c r="VRS19" s="344"/>
      <c r="VRT19" s="344"/>
      <c r="VRU19" s="344"/>
      <c r="VRV19" s="344"/>
      <c r="VRW19" s="344"/>
      <c r="VRX19" s="344"/>
      <c r="VRY19" s="344"/>
      <c r="VRZ19" s="344"/>
      <c r="VSA19" s="344"/>
      <c r="VSB19" s="344"/>
      <c r="VSC19" s="344"/>
      <c r="VSD19" s="344"/>
      <c r="VSE19" s="344"/>
      <c r="VSF19" s="344"/>
      <c r="VSG19" s="344"/>
      <c r="VSH19" s="344"/>
      <c r="VSI19" s="344"/>
      <c r="VSJ19" s="344"/>
      <c r="VSK19" s="344"/>
      <c r="VSL19" s="344"/>
      <c r="VSM19" s="344"/>
      <c r="VSN19" s="344"/>
      <c r="VSO19" s="344"/>
      <c r="VSP19" s="344"/>
      <c r="VSQ19" s="344"/>
      <c r="VSR19" s="344"/>
      <c r="VSS19" s="344"/>
      <c r="VST19" s="344"/>
      <c r="VSU19" s="344"/>
      <c r="VSV19" s="344"/>
      <c r="VSW19" s="344"/>
      <c r="VSX19" s="344"/>
      <c r="VSY19" s="344"/>
      <c r="VSZ19" s="344"/>
      <c r="VTA19" s="344"/>
      <c r="VTB19" s="344"/>
      <c r="VTC19" s="344"/>
      <c r="VTD19" s="344"/>
      <c r="VTE19" s="344"/>
      <c r="VTF19" s="344"/>
      <c r="VTG19" s="344"/>
      <c r="VTH19" s="344"/>
      <c r="VTI19" s="344"/>
      <c r="VTJ19" s="344"/>
      <c r="VTK19" s="344"/>
      <c r="VTL19" s="344"/>
      <c r="VTM19" s="344"/>
      <c r="VTN19" s="344"/>
      <c r="VTO19" s="344"/>
      <c r="VTP19" s="344"/>
      <c r="VTQ19" s="344"/>
      <c r="VTR19" s="344"/>
      <c r="VTS19" s="344"/>
      <c r="VTT19" s="344"/>
      <c r="VTU19" s="344"/>
      <c r="VTV19" s="344"/>
      <c r="VTW19" s="344"/>
      <c r="VTX19" s="344"/>
      <c r="VTY19" s="344"/>
      <c r="VTZ19" s="344"/>
      <c r="VUA19" s="344"/>
      <c r="VUB19" s="344"/>
      <c r="VUC19" s="344"/>
      <c r="VUD19" s="344"/>
      <c r="VUE19" s="344"/>
      <c r="VUF19" s="344"/>
      <c r="VUG19" s="344"/>
      <c r="VUH19" s="344"/>
      <c r="VUI19" s="344"/>
      <c r="VUJ19" s="344"/>
      <c r="VUK19" s="344"/>
      <c r="VUL19" s="344"/>
      <c r="VUM19" s="344"/>
      <c r="VUN19" s="344"/>
      <c r="VUO19" s="344"/>
      <c r="VUP19" s="344"/>
      <c r="VUQ19" s="344"/>
      <c r="VUR19" s="344"/>
      <c r="VUS19" s="344"/>
      <c r="VUT19" s="344"/>
      <c r="VUU19" s="344"/>
      <c r="VUV19" s="344"/>
      <c r="VUW19" s="344"/>
      <c r="VUX19" s="344"/>
      <c r="VUY19" s="344"/>
      <c r="VUZ19" s="344"/>
      <c r="VVA19" s="344"/>
      <c r="VVB19" s="344"/>
      <c r="VVC19" s="344"/>
      <c r="VVD19" s="344"/>
      <c r="VVE19" s="344"/>
      <c r="VVF19" s="344"/>
      <c r="VVG19" s="344"/>
      <c r="VVH19" s="344"/>
      <c r="VVI19" s="344"/>
      <c r="VVJ19" s="344"/>
      <c r="VVK19" s="344"/>
      <c r="VVL19" s="344"/>
      <c r="VVM19" s="344"/>
      <c r="VVN19" s="344"/>
      <c r="VVO19" s="344"/>
      <c r="VVP19" s="344"/>
      <c r="VVQ19" s="344"/>
      <c r="VVR19" s="344"/>
      <c r="VVS19" s="344"/>
      <c r="VVT19" s="344"/>
      <c r="VVU19" s="344"/>
      <c r="VVV19" s="344"/>
      <c r="VVW19" s="344"/>
      <c r="VVX19" s="344"/>
      <c r="VVY19" s="344"/>
      <c r="VVZ19" s="344"/>
      <c r="VWA19" s="344"/>
      <c r="VWB19" s="344"/>
      <c r="VWC19" s="344"/>
      <c r="VWD19" s="344"/>
      <c r="VWE19" s="344"/>
      <c r="VWF19" s="344"/>
      <c r="VWG19" s="344"/>
      <c r="VWH19" s="344"/>
      <c r="VWI19" s="344"/>
      <c r="VWJ19" s="344"/>
      <c r="VWK19" s="344"/>
      <c r="VWL19" s="344"/>
      <c r="VWM19" s="344"/>
      <c r="VWN19" s="344"/>
      <c r="VWO19" s="344"/>
      <c r="VWP19" s="344"/>
      <c r="VWQ19" s="344"/>
      <c r="VWR19" s="344"/>
      <c r="VWS19" s="344"/>
      <c r="VWT19" s="344"/>
      <c r="VWU19" s="344"/>
      <c r="VWV19" s="344"/>
      <c r="VWW19" s="344"/>
      <c r="VWX19" s="344"/>
      <c r="VWY19" s="344"/>
      <c r="VWZ19" s="344"/>
      <c r="VXA19" s="344"/>
      <c r="VXB19" s="344"/>
      <c r="VXC19" s="344"/>
      <c r="VXD19" s="344"/>
      <c r="VXE19" s="344"/>
      <c r="VXF19" s="344"/>
      <c r="VXG19" s="344"/>
      <c r="VXH19" s="344"/>
      <c r="VXI19" s="344"/>
      <c r="VXJ19" s="344"/>
      <c r="VXK19" s="344"/>
      <c r="VXL19" s="344"/>
      <c r="VXM19" s="344"/>
      <c r="VXN19" s="344"/>
      <c r="VXO19" s="344"/>
      <c r="VXP19" s="344"/>
      <c r="VXQ19" s="344"/>
      <c r="VXR19" s="344"/>
      <c r="VXS19" s="344"/>
      <c r="VXT19" s="344"/>
      <c r="VXU19" s="344"/>
      <c r="VXV19" s="344"/>
      <c r="VXW19" s="344"/>
      <c r="VXX19" s="344"/>
      <c r="VXY19" s="344"/>
      <c r="VXZ19" s="344"/>
      <c r="VYA19" s="344"/>
      <c r="VYB19" s="344"/>
      <c r="VYC19" s="344"/>
      <c r="VYD19" s="344"/>
      <c r="VYE19" s="344"/>
      <c r="VYF19" s="344"/>
      <c r="VYG19" s="344"/>
      <c r="VYH19" s="344"/>
      <c r="VYI19" s="344"/>
      <c r="VYJ19" s="344"/>
      <c r="VYK19" s="344"/>
      <c r="VYL19" s="344"/>
      <c r="VYM19" s="344"/>
      <c r="VYN19" s="344"/>
      <c r="VYO19" s="344"/>
      <c r="VYP19" s="344"/>
      <c r="VYQ19" s="344"/>
      <c r="VYR19" s="344"/>
      <c r="VYS19" s="344"/>
      <c r="VYT19" s="344"/>
      <c r="VYU19" s="344"/>
      <c r="VYV19" s="344"/>
      <c r="VYW19" s="344"/>
      <c r="VYX19" s="344"/>
      <c r="VYY19" s="344"/>
      <c r="VYZ19" s="344"/>
      <c r="VZA19" s="344"/>
      <c r="VZB19" s="344"/>
      <c r="VZC19" s="344"/>
      <c r="VZD19" s="344"/>
      <c r="VZE19" s="344"/>
      <c r="VZF19" s="344"/>
      <c r="VZG19" s="344"/>
      <c r="VZH19" s="344"/>
      <c r="VZI19" s="344"/>
      <c r="VZJ19" s="344"/>
      <c r="VZK19" s="344"/>
      <c r="VZL19" s="344"/>
      <c r="VZM19" s="344"/>
      <c r="VZN19" s="344"/>
      <c r="VZO19" s="344"/>
      <c r="VZP19" s="344"/>
      <c r="VZQ19" s="344"/>
      <c r="VZR19" s="344"/>
      <c r="VZS19" s="344"/>
      <c r="VZT19" s="344"/>
      <c r="VZU19" s="344"/>
      <c r="VZV19" s="344"/>
      <c r="VZW19" s="344"/>
      <c r="VZX19" s="344"/>
      <c r="VZY19" s="344"/>
      <c r="VZZ19" s="344"/>
      <c r="WAA19" s="344"/>
      <c r="WAB19" s="344"/>
      <c r="WAC19" s="344"/>
      <c r="WAD19" s="344"/>
      <c r="WAE19" s="344"/>
      <c r="WAF19" s="344"/>
      <c r="WAG19" s="344"/>
      <c r="WAH19" s="344"/>
      <c r="WAI19" s="344"/>
      <c r="WAJ19" s="344"/>
      <c r="WAK19" s="344"/>
      <c r="WAL19" s="344"/>
      <c r="WAM19" s="344"/>
      <c r="WAN19" s="344"/>
      <c r="WAO19" s="344"/>
      <c r="WAP19" s="344"/>
      <c r="WAQ19" s="344"/>
      <c r="WAR19" s="344"/>
      <c r="WAS19" s="344"/>
      <c r="WAT19" s="344"/>
      <c r="WAU19" s="344"/>
      <c r="WAV19" s="344"/>
      <c r="WAW19" s="344"/>
      <c r="WAX19" s="344"/>
      <c r="WAY19" s="344"/>
      <c r="WAZ19" s="344"/>
      <c r="WBA19" s="344"/>
      <c r="WBB19" s="344"/>
      <c r="WBC19" s="344"/>
      <c r="WBD19" s="344"/>
      <c r="WBE19" s="344"/>
      <c r="WBF19" s="344"/>
      <c r="WBG19" s="344"/>
      <c r="WBH19" s="344"/>
      <c r="WBI19" s="344"/>
      <c r="WBJ19" s="344"/>
      <c r="WBK19" s="344"/>
      <c r="WBL19" s="344"/>
      <c r="WBM19" s="344"/>
      <c r="WBN19" s="344"/>
      <c r="WBO19" s="344"/>
      <c r="WBP19" s="344"/>
      <c r="WBQ19" s="344"/>
      <c r="WBR19" s="344"/>
      <c r="WBS19" s="344"/>
      <c r="WBT19" s="344"/>
      <c r="WBU19" s="344"/>
      <c r="WBV19" s="344"/>
      <c r="WBW19" s="344"/>
      <c r="WBX19" s="344"/>
      <c r="WBY19" s="344"/>
      <c r="WBZ19" s="344"/>
      <c r="WCA19" s="344"/>
      <c r="WCB19" s="344"/>
      <c r="WCC19" s="344"/>
      <c r="WCD19" s="344"/>
      <c r="WCE19" s="344"/>
      <c r="WCF19" s="344"/>
      <c r="WCG19" s="344"/>
      <c r="WCH19" s="344"/>
      <c r="WCI19" s="344"/>
      <c r="WCJ19" s="344"/>
      <c r="WCK19" s="344"/>
      <c r="WCL19" s="344"/>
      <c r="WCM19" s="344"/>
      <c r="WCN19" s="344"/>
      <c r="WCO19" s="344"/>
      <c r="WCP19" s="344"/>
      <c r="WCQ19" s="344"/>
      <c r="WCR19" s="344"/>
      <c r="WCS19" s="344"/>
      <c r="WCT19" s="344"/>
      <c r="WCU19" s="344"/>
      <c r="WCV19" s="344"/>
      <c r="WCW19" s="344"/>
      <c r="WCX19" s="344"/>
      <c r="WCY19" s="344"/>
      <c r="WCZ19" s="344"/>
      <c r="WDA19" s="344"/>
      <c r="WDB19" s="344"/>
      <c r="WDC19" s="344"/>
      <c r="WDD19" s="344"/>
      <c r="WDE19" s="344"/>
      <c r="WDF19" s="344"/>
      <c r="WDG19" s="344"/>
      <c r="WDH19" s="344"/>
      <c r="WDI19" s="344"/>
      <c r="WDJ19" s="344"/>
      <c r="WDK19" s="344"/>
      <c r="WDL19" s="344"/>
      <c r="WDM19" s="344"/>
      <c r="WDN19" s="344"/>
      <c r="WDO19" s="344"/>
      <c r="WDP19" s="344"/>
      <c r="WDQ19" s="344"/>
      <c r="WDR19" s="344"/>
      <c r="WDS19" s="344"/>
      <c r="WDT19" s="344"/>
      <c r="WDU19" s="344"/>
      <c r="WDV19" s="344"/>
      <c r="WDW19" s="344"/>
      <c r="WDX19" s="344"/>
      <c r="WDY19" s="344"/>
      <c r="WDZ19" s="344"/>
      <c r="WEA19" s="344"/>
      <c r="WEB19" s="344"/>
      <c r="WEC19" s="344"/>
      <c r="WED19" s="344"/>
      <c r="WEE19" s="344"/>
      <c r="WEF19" s="344"/>
      <c r="WEG19" s="344"/>
      <c r="WEH19" s="344"/>
      <c r="WEI19" s="344"/>
      <c r="WEJ19" s="344"/>
      <c r="WEK19" s="344"/>
      <c r="WEL19" s="344"/>
      <c r="WEM19" s="344"/>
      <c r="WEN19" s="344"/>
      <c r="WEO19" s="344"/>
      <c r="WEP19" s="344"/>
      <c r="WEQ19" s="344"/>
      <c r="WER19" s="344"/>
      <c r="WES19" s="344"/>
      <c r="WET19" s="344"/>
      <c r="WEU19" s="344"/>
      <c r="WEV19" s="344"/>
      <c r="WEW19" s="344"/>
      <c r="WEX19" s="344"/>
      <c r="WEY19" s="344"/>
      <c r="WEZ19" s="344"/>
      <c r="WFA19" s="344"/>
      <c r="WFB19" s="344"/>
      <c r="WFC19" s="344"/>
      <c r="WFD19" s="344"/>
      <c r="WFE19" s="344"/>
      <c r="WFF19" s="344"/>
      <c r="WFG19" s="344"/>
      <c r="WFH19" s="344"/>
      <c r="WFI19" s="344"/>
      <c r="WFJ19" s="344"/>
      <c r="WFK19" s="344"/>
      <c r="WFL19" s="344"/>
      <c r="WFM19" s="344"/>
      <c r="WFN19" s="344"/>
      <c r="WFO19" s="344"/>
      <c r="WFP19" s="344"/>
      <c r="WFQ19" s="344"/>
      <c r="WFR19" s="344"/>
      <c r="WFS19" s="344"/>
      <c r="WFT19" s="344"/>
      <c r="WFU19" s="344"/>
      <c r="WFV19" s="344"/>
      <c r="WFW19" s="344"/>
      <c r="WFX19" s="344"/>
      <c r="WFY19" s="344"/>
      <c r="WFZ19" s="344"/>
      <c r="WGA19" s="344"/>
      <c r="WGB19" s="344"/>
      <c r="WGC19" s="344"/>
      <c r="WGD19" s="344"/>
      <c r="WGE19" s="344"/>
      <c r="WGF19" s="344"/>
      <c r="WGG19" s="344"/>
      <c r="WGH19" s="344"/>
      <c r="WGI19" s="344"/>
      <c r="WGJ19" s="344"/>
      <c r="WGK19" s="344"/>
      <c r="WGL19" s="344"/>
      <c r="WGM19" s="344"/>
      <c r="WGN19" s="344"/>
      <c r="WGO19" s="344"/>
      <c r="WGP19" s="344"/>
      <c r="WGQ19" s="344"/>
      <c r="WGR19" s="344"/>
      <c r="WGS19" s="344"/>
      <c r="WGT19" s="344"/>
      <c r="WGU19" s="344"/>
      <c r="WGV19" s="344"/>
      <c r="WGW19" s="344"/>
      <c r="WGX19" s="344"/>
      <c r="WGY19" s="344"/>
      <c r="WGZ19" s="344"/>
      <c r="WHA19" s="344"/>
      <c r="WHB19" s="344"/>
      <c r="WHC19" s="344"/>
      <c r="WHD19" s="344"/>
      <c r="WHE19" s="344"/>
      <c r="WHF19" s="344"/>
      <c r="WHG19" s="344"/>
      <c r="WHH19" s="344"/>
      <c r="WHI19" s="344"/>
      <c r="WHJ19" s="344"/>
      <c r="WHK19" s="344"/>
      <c r="WHL19" s="344"/>
      <c r="WHM19" s="344"/>
      <c r="WHN19" s="344"/>
      <c r="WHO19" s="344"/>
      <c r="WHP19" s="344"/>
      <c r="WHQ19" s="344"/>
      <c r="WHR19" s="344"/>
      <c r="WHS19" s="344"/>
      <c r="WHT19" s="344"/>
      <c r="WHU19" s="344"/>
      <c r="WHV19" s="344"/>
      <c r="WHW19" s="344"/>
      <c r="WHX19" s="344"/>
      <c r="WHY19" s="344"/>
      <c r="WHZ19" s="344"/>
      <c r="WIA19" s="344"/>
      <c r="WIB19" s="344"/>
      <c r="WIC19" s="344"/>
      <c r="WID19" s="344"/>
      <c r="WIE19" s="344"/>
      <c r="WIF19" s="344"/>
      <c r="WIG19" s="344"/>
      <c r="WIH19" s="344"/>
      <c r="WII19" s="344"/>
      <c r="WIJ19" s="344"/>
      <c r="WIK19" s="344"/>
      <c r="WIL19" s="344"/>
      <c r="WIM19" s="344"/>
      <c r="WIN19" s="344"/>
      <c r="WIO19" s="344"/>
      <c r="WIP19" s="344"/>
      <c r="WIQ19" s="344"/>
      <c r="WIR19" s="344"/>
      <c r="WIS19" s="344"/>
      <c r="WIT19" s="344"/>
      <c r="WIU19" s="344"/>
      <c r="WIV19" s="344"/>
      <c r="WIW19" s="344"/>
      <c r="WIX19" s="344"/>
      <c r="WIY19" s="344"/>
      <c r="WIZ19" s="344"/>
      <c r="WJA19" s="344"/>
      <c r="WJB19" s="344"/>
      <c r="WJC19" s="344"/>
      <c r="WJD19" s="344"/>
      <c r="WJE19" s="344"/>
      <c r="WJF19" s="344"/>
      <c r="WJG19" s="344"/>
      <c r="WJH19" s="344"/>
      <c r="WJI19" s="344"/>
      <c r="WJJ19" s="344"/>
      <c r="WJK19" s="344"/>
      <c r="WJL19" s="344"/>
      <c r="WJM19" s="344"/>
      <c r="WJN19" s="344"/>
      <c r="WJO19" s="344"/>
      <c r="WJP19" s="344"/>
      <c r="WJQ19" s="344"/>
      <c r="WJR19" s="344"/>
      <c r="WJS19" s="344"/>
      <c r="WJT19" s="344"/>
      <c r="WJU19" s="344"/>
      <c r="WJV19" s="344"/>
      <c r="WJW19" s="344"/>
      <c r="WJX19" s="344"/>
      <c r="WJY19" s="344"/>
      <c r="WJZ19" s="344"/>
      <c r="WKA19" s="344"/>
      <c r="WKB19" s="344"/>
      <c r="WKC19" s="344"/>
      <c r="WKD19" s="344"/>
      <c r="WKE19" s="344"/>
      <c r="WKF19" s="344"/>
      <c r="WKG19" s="344"/>
      <c r="WKH19" s="344"/>
      <c r="WKI19" s="344"/>
      <c r="WKJ19" s="344"/>
      <c r="WKK19" s="344"/>
      <c r="WKL19" s="344"/>
      <c r="WKM19" s="344"/>
      <c r="WKN19" s="344"/>
      <c r="WKO19" s="344"/>
      <c r="WKP19" s="344"/>
      <c r="WKQ19" s="344"/>
      <c r="WKR19" s="344"/>
      <c r="WKS19" s="344"/>
      <c r="WKT19" s="344"/>
      <c r="WKU19" s="344"/>
      <c r="WKV19" s="344"/>
      <c r="WKW19" s="344"/>
      <c r="WKX19" s="344"/>
      <c r="WKY19" s="344"/>
      <c r="WKZ19" s="344"/>
      <c r="WLA19" s="344"/>
      <c r="WLB19" s="344"/>
      <c r="WLC19" s="344"/>
      <c r="WLD19" s="344"/>
      <c r="WLE19" s="344"/>
      <c r="WLF19" s="344"/>
      <c r="WLG19" s="344"/>
      <c r="WLH19" s="344"/>
      <c r="WLI19" s="344"/>
      <c r="WLJ19" s="344"/>
      <c r="WLK19" s="344"/>
      <c r="WLL19" s="344"/>
      <c r="WLM19" s="344"/>
      <c r="WLN19" s="344"/>
      <c r="WLO19" s="344"/>
      <c r="WLP19" s="344"/>
      <c r="WLQ19" s="344"/>
      <c r="WLR19" s="344"/>
      <c r="WLS19" s="344"/>
      <c r="WLT19" s="344"/>
      <c r="WLU19" s="344"/>
      <c r="WLV19" s="344"/>
      <c r="WLW19" s="344"/>
      <c r="WLX19" s="344"/>
      <c r="WLY19" s="344"/>
      <c r="WLZ19" s="344"/>
      <c r="WMA19" s="344"/>
      <c r="WMB19" s="344"/>
      <c r="WMC19" s="344"/>
      <c r="WMD19" s="344"/>
      <c r="WME19" s="344"/>
      <c r="WMF19" s="344"/>
      <c r="WMG19" s="344"/>
      <c r="WMH19" s="344"/>
      <c r="WMI19" s="344"/>
      <c r="WMJ19" s="344"/>
      <c r="WMK19" s="344"/>
      <c r="WML19" s="344"/>
      <c r="WMM19" s="344"/>
      <c r="WMN19" s="344"/>
      <c r="WMO19" s="344"/>
      <c r="WMP19" s="344"/>
      <c r="WMQ19" s="344"/>
      <c r="WMR19" s="344"/>
      <c r="WMS19" s="344"/>
      <c r="WMT19" s="344"/>
      <c r="WMU19" s="344"/>
      <c r="WMV19" s="344"/>
      <c r="WMW19" s="344"/>
      <c r="WMX19" s="344"/>
      <c r="WMY19" s="344"/>
      <c r="WMZ19" s="344"/>
      <c r="WNA19" s="344"/>
      <c r="WNB19" s="344"/>
      <c r="WNC19" s="344"/>
      <c r="WND19" s="344"/>
      <c r="WNE19" s="344"/>
      <c r="WNF19" s="344"/>
      <c r="WNG19" s="344"/>
      <c r="WNH19" s="344"/>
      <c r="WNI19" s="344"/>
      <c r="WNJ19" s="344"/>
      <c r="WNK19" s="344"/>
      <c r="WNL19" s="344"/>
      <c r="WNM19" s="344"/>
      <c r="WNN19" s="344"/>
      <c r="WNO19" s="344"/>
      <c r="WNP19" s="344"/>
      <c r="WNQ19" s="344"/>
      <c r="WNR19" s="344"/>
      <c r="WNS19" s="344"/>
      <c r="WNT19" s="344"/>
      <c r="WNU19" s="344"/>
      <c r="WNV19" s="344"/>
      <c r="WNW19" s="344"/>
      <c r="WNX19" s="344"/>
      <c r="WNY19" s="344"/>
      <c r="WNZ19" s="344"/>
      <c r="WOA19" s="344"/>
      <c r="WOB19" s="344"/>
      <c r="WOC19" s="344"/>
      <c r="WOD19" s="344"/>
      <c r="WOE19" s="344"/>
      <c r="WOF19" s="344"/>
      <c r="WOG19" s="344"/>
      <c r="WOH19" s="344"/>
      <c r="WOI19" s="344"/>
      <c r="WOJ19" s="344"/>
      <c r="WOK19" s="344"/>
      <c r="WOL19" s="344"/>
      <c r="WOM19" s="344"/>
      <c r="WON19" s="344"/>
      <c r="WOO19" s="344"/>
      <c r="WOP19" s="344"/>
      <c r="WOQ19" s="344"/>
      <c r="WOR19" s="344"/>
      <c r="WOS19" s="344"/>
      <c r="WOT19" s="344"/>
      <c r="WOU19" s="344"/>
      <c r="WOV19" s="344"/>
      <c r="WOW19" s="344"/>
      <c r="WOX19" s="344"/>
      <c r="WOY19" s="344"/>
      <c r="WOZ19" s="344"/>
      <c r="WPA19" s="344"/>
      <c r="WPB19" s="344"/>
      <c r="WPC19" s="344"/>
      <c r="WPD19" s="344"/>
      <c r="WPE19" s="344"/>
      <c r="WPF19" s="344"/>
      <c r="WPG19" s="344"/>
      <c r="WPH19" s="344"/>
      <c r="WPI19" s="344"/>
      <c r="WPJ19" s="344"/>
      <c r="WPK19" s="344"/>
      <c r="WPL19" s="344"/>
      <c r="WPM19" s="344"/>
      <c r="WPN19" s="344"/>
      <c r="WPO19" s="344"/>
      <c r="WPP19" s="344"/>
      <c r="WPQ19" s="344"/>
      <c r="WPR19" s="344"/>
      <c r="WPS19" s="344"/>
      <c r="WPT19" s="344"/>
      <c r="WPU19" s="344"/>
      <c r="WPV19" s="344"/>
      <c r="WPW19" s="344"/>
      <c r="WPX19" s="344"/>
      <c r="WPY19" s="344"/>
      <c r="WPZ19" s="344"/>
      <c r="WQA19" s="344"/>
      <c r="WQB19" s="344"/>
      <c r="WQC19" s="344"/>
      <c r="WQD19" s="344"/>
      <c r="WQE19" s="344"/>
      <c r="WQF19" s="344"/>
      <c r="WQG19" s="344"/>
      <c r="WQH19" s="344"/>
      <c r="WQI19" s="344"/>
      <c r="WQJ19" s="344"/>
      <c r="WQK19" s="344"/>
      <c r="WQL19" s="344"/>
      <c r="WQM19" s="344"/>
      <c r="WQN19" s="344"/>
      <c r="WQO19" s="344"/>
      <c r="WQP19" s="344"/>
      <c r="WQQ19" s="344"/>
      <c r="WQR19" s="344"/>
      <c r="WQS19" s="344"/>
      <c r="WQT19" s="344"/>
      <c r="WQU19" s="344"/>
      <c r="WQV19" s="344"/>
      <c r="WQW19" s="344"/>
      <c r="WQX19" s="344"/>
      <c r="WQY19" s="344"/>
      <c r="WQZ19" s="344"/>
      <c r="WRA19" s="344"/>
      <c r="WRB19" s="344"/>
      <c r="WRC19" s="344"/>
      <c r="WRD19" s="344"/>
      <c r="WRE19" s="344"/>
      <c r="WRF19" s="344"/>
      <c r="WRG19" s="344"/>
      <c r="WRH19" s="344"/>
      <c r="WRI19" s="344"/>
      <c r="WRJ19" s="344"/>
      <c r="WRK19" s="344"/>
      <c r="WRL19" s="344"/>
      <c r="WRM19" s="344"/>
      <c r="WRN19" s="344"/>
      <c r="WRO19" s="344"/>
      <c r="WRP19" s="344"/>
      <c r="WRQ19" s="344"/>
      <c r="WRR19" s="344"/>
      <c r="WRS19" s="344"/>
      <c r="WRT19" s="344"/>
      <c r="WRU19" s="344"/>
      <c r="WRV19" s="344"/>
      <c r="WRW19" s="344"/>
      <c r="WRX19" s="344"/>
      <c r="WRY19" s="344"/>
      <c r="WRZ19" s="344"/>
      <c r="WSA19" s="344"/>
      <c r="WSB19" s="344"/>
      <c r="WSC19" s="344"/>
      <c r="WSD19" s="344"/>
      <c r="WSE19" s="344"/>
      <c r="WSF19" s="344"/>
      <c r="WSG19" s="344"/>
      <c r="WSH19" s="344"/>
      <c r="WSI19" s="344"/>
      <c r="WSJ19" s="344"/>
      <c r="WSK19" s="344"/>
      <c r="WSL19" s="344"/>
      <c r="WSM19" s="344"/>
      <c r="WSN19" s="344"/>
      <c r="WSO19" s="344"/>
      <c r="WSP19" s="344"/>
      <c r="WSQ19" s="344"/>
      <c r="WSR19" s="344"/>
      <c r="WSS19" s="344"/>
      <c r="WST19" s="344"/>
      <c r="WSU19" s="344"/>
      <c r="WSV19" s="344"/>
      <c r="WSW19" s="344"/>
      <c r="WSX19" s="344"/>
      <c r="WSY19" s="344"/>
      <c r="WSZ19" s="344"/>
      <c r="WTA19" s="344"/>
      <c r="WTB19" s="344"/>
      <c r="WTC19" s="344"/>
      <c r="WTD19" s="344"/>
      <c r="WTE19" s="344"/>
      <c r="WTF19" s="344"/>
      <c r="WTG19" s="344"/>
      <c r="WTH19" s="344"/>
      <c r="WTI19" s="344"/>
      <c r="WTJ19" s="344"/>
      <c r="WTK19" s="344"/>
      <c r="WTL19" s="344"/>
      <c r="WTM19" s="344"/>
      <c r="WTN19" s="344"/>
      <c r="WTO19" s="344"/>
      <c r="WTP19" s="344"/>
      <c r="WTQ19" s="344"/>
      <c r="WTR19" s="344"/>
      <c r="WTS19" s="344"/>
      <c r="WTT19" s="344"/>
      <c r="WTU19" s="344"/>
      <c r="WTV19" s="344"/>
      <c r="WTW19" s="344"/>
      <c r="WTX19" s="344"/>
      <c r="WTY19" s="344"/>
      <c r="WTZ19" s="344"/>
      <c r="WUA19" s="344"/>
      <c r="WUB19" s="344"/>
      <c r="WUC19" s="344"/>
      <c r="WUD19" s="344"/>
      <c r="WUE19" s="344"/>
      <c r="WUF19" s="344"/>
      <c r="WUG19" s="344"/>
      <c r="WUH19" s="344"/>
      <c r="WUI19" s="344"/>
      <c r="WUJ19" s="344"/>
      <c r="WUK19" s="344"/>
      <c r="WUL19" s="344"/>
      <c r="WUM19" s="344"/>
      <c r="WUN19" s="344"/>
      <c r="WUO19" s="344"/>
      <c r="WUP19" s="344"/>
      <c r="WUQ19" s="344"/>
      <c r="WUR19" s="344"/>
      <c r="WUS19" s="344"/>
      <c r="WUT19" s="344"/>
      <c r="WUU19" s="344"/>
      <c r="WUV19" s="344"/>
      <c r="WUW19" s="344"/>
      <c r="WUX19" s="344"/>
      <c r="WUY19" s="344"/>
      <c r="WUZ19" s="344"/>
      <c r="WVA19" s="344"/>
      <c r="WVB19" s="344"/>
      <c r="WVC19" s="344"/>
      <c r="WVD19" s="344"/>
      <c r="WVE19" s="344"/>
      <c r="WVF19" s="344"/>
      <c r="WVG19" s="344"/>
      <c r="WVH19" s="344"/>
      <c r="WVI19" s="344"/>
      <c r="WVJ19" s="344"/>
      <c r="WVK19" s="344"/>
      <c r="WVL19" s="344"/>
      <c r="WVM19" s="344"/>
      <c r="WVN19" s="344"/>
      <c r="WVO19" s="344"/>
      <c r="WVP19" s="344"/>
      <c r="WVQ19" s="344"/>
      <c r="WVR19" s="344"/>
      <c r="WVS19" s="344"/>
      <c r="WVT19" s="344"/>
      <c r="WVU19" s="344"/>
      <c r="WVV19" s="344"/>
      <c r="WVW19" s="344"/>
      <c r="WVX19" s="344"/>
      <c r="WVY19" s="344"/>
      <c r="WVZ19" s="344"/>
      <c r="WWA19" s="344"/>
      <c r="WWB19" s="344"/>
      <c r="WWC19" s="344"/>
      <c r="WWD19" s="344"/>
      <c r="WWE19" s="344"/>
      <c r="WWF19" s="344"/>
      <c r="WWG19" s="344"/>
      <c r="WWH19" s="344"/>
      <c r="WWI19" s="344"/>
      <c r="WWJ19" s="344"/>
      <c r="WWK19" s="344"/>
      <c r="WWL19" s="344"/>
      <c r="WWM19" s="344"/>
      <c r="WWN19" s="344"/>
      <c r="WWO19" s="344"/>
      <c r="WWP19" s="344"/>
      <c r="WWQ19" s="344"/>
      <c r="WWR19" s="344"/>
      <c r="WWS19" s="344"/>
      <c r="WWT19" s="344"/>
      <c r="WWU19" s="344"/>
      <c r="WWV19" s="344"/>
      <c r="WWW19" s="344"/>
      <c r="WWX19" s="344"/>
      <c r="WWY19" s="344"/>
      <c r="WWZ19" s="344"/>
      <c r="WXA19" s="344"/>
      <c r="WXB19" s="344"/>
      <c r="WXC19" s="344"/>
      <c r="WXD19" s="344"/>
      <c r="WXE19" s="344"/>
      <c r="WXF19" s="344"/>
      <c r="WXG19" s="344"/>
      <c r="WXH19" s="344"/>
      <c r="WXI19" s="344"/>
      <c r="WXJ19" s="344"/>
      <c r="WXK19" s="344"/>
      <c r="WXL19" s="344"/>
      <c r="WXM19" s="344"/>
      <c r="WXN19" s="344"/>
      <c r="WXO19" s="344"/>
      <c r="WXP19" s="344"/>
      <c r="WXQ19" s="344"/>
      <c r="WXR19" s="344"/>
      <c r="WXS19" s="344"/>
      <c r="WXT19" s="344"/>
      <c r="WXU19" s="344"/>
      <c r="WXV19" s="344"/>
      <c r="WXW19" s="344"/>
      <c r="WXX19" s="344"/>
      <c r="WXY19" s="344"/>
      <c r="WXZ19" s="344"/>
      <c r="WYA19" s="344"/>
      <c r="WYB19" s="344"/>
      <c r="WYC19" s="344"/>
      <c r="WYD19" s="344"/>
      <c r="WYE19" s="344"/>
      <c r="WYF19" s="344"/>
      <c r="WYG19" s="344"/>
      <c r="WYH19" s="344"/>
      <c r="WYI19" s="344"/>
      <c r="WYJ19" s="344"/>
      <c r="WYK19" s="344"/>
      <c r="WYL19" s="344"/>
      <c r="WYM19" s="344"/>
      <c r="WYN19" s="344"/>
      <c r="WYO19" s="344"/>
      <c r="WYP19" s="344"/>
      <c r="WYQ19" s="344"/>
      <c r="WYR19" s="344"/>
      <c r="WYS19" s="344"/>
      <c r="WYT19" s="344"/>
      <c r="WYU19" s="344"/>
      <c r="WYV19" s="344"/>
      <c r="WYW19" s="344"/>
      <c r="WYX19" s="344"/>
      <c r="WYY19" s="344"/>
      <c r="WYZ19" s="344"/>
      <c r="WZA19" s="344"/>
      <c r="WZB19" s="344"/>
      <c r="WZC19" s="344"/>
      <c r="WZD19" s="344"/>
      <c r="WZE19" s="344"/>
      <c r="WZF19" s="344"/>
      <c r="WZG19" s="344"/>
      <c r="WZH19" s="344"/>
      <c r="WZI19" s="344"/>
      <c r="WZJ19" s="344"/>
      <c r="WZK19" s="344"/>
      <c r="WZL19" s="344"/>
      <c r="WZM19" s="344"/>
      <c r="WZN19" s="344"/>
      <c r="WZO19" s="344"/>
      <c r="WZP19" s="344"/>
      <c r="WZQ19" s="344"/>
      <c r="WZR19" s="344"/>
      <c r="WZS19" s="344"/>
      <c r="WZT19" s="344"/>
      <c r="WZU19" s="344"/>
      <c r="WZV19" s="344"/>
      <c r="WZW19" s="344"/>
      <c r="WZX19" s="344"/>
      <c r="WZY19" s="344"/>
      <c r="WZZ19" s="344"/>
      <c r="XAA19" s="344"/>
      <c r="XAB19" s="344"/>
      <c r="XAC19" s="344"/>
      <c r="XAD19" s="344"/>
      <c r="XAE19" s="344"/>
      <c r="XAF19" s="344"/>
      <c r="XAG19" s="344"/>
      <c r="XAH19" s="344"/>
      <c r="XAI19" s="344"/>
      <c r="XAJ19" s="344"/>
      <c r="XAK19" s="344"/>
      <c r="XAL19" s="344"/>
      <c r="XAM19" s="344"/>
      <c r="XAN19" s="344"/>
      <c r="XAO19" s="344"/>
      <c r="XAP19" s="344"/>
      <c r="XAQ19" s="344"/>
      <c r="XAR19" s="344"/>
      <c r="XAS19" s="344"/>
      <c r="XAT19" s="344"/>
      <c r="XAU19" s="344"/>
      <c r="XAV19" s="344"/>
      <c r="XAW19" s="344"/>
      <c r="XAX19" s="344"/>
      <c r="XAY19" s="344"/>
      <c r="XAZ19" s="344"/>
      <c r="XBA19" s="344"/>
      <c r="XBB19" s="344"/>
      <c r="XBC19" s="344"/>
      <c r="XBD19" s="344"/>
      <c r="XBE19" s="344"/>
      <c r="XBF19" s="344"/>
      <c r="XBG19" s="344"/>
      <c r="XBH19" s="344"/>
      <c r="XBI19" s="344"/>
      <c r="XBJ19" s="344"/>
      <c r="XBK19" s="344"/>
      <c r="XBL19" s="344"/>
      <c r="XBM19" s="344"/>
      <c r="XBN19" s="344"/>
      <c r="XBO19" s="344"/>
      <c r="XBP19" s="344"/>
      <c r="XBQ19" s="344"/>
      <c r="XBR19" s="344"/>
      <c r="XBS19" s="344"/>
      <c r="XBT19" s="344"/>
      <c r="XBU19" s="344"/>
      <c r="XBV19" s="344"/>
      <c r="XBW19" s="344"/>
      <c r="XBX19" s="344"/>
      <c r="XBY19" s="344"/>
      <c r="XBZ19" s="344"/>
      <c r="XCA19" s="344"/>
      <c r="XCB19" s="344"/>
      <c r="XCC19" s="344"/>
      <c r="XCD19" s="344"/>
      <c r="XCE19" s="344"/>
      <c r="XCF19" s="344"/>
      <c r="XCG19" s="344"/>
      <c r="XCH19" s="344"/>
      <c r="XCI19" s="344"/>
      <c r="XCJ19" s="344"/>
      <c r="XCK19" s="344"/>
      <c r="XCL19" s="344"/>
      <c r="XCM19" s="344"/>
    </row>
    <row r="20" spans="1:16315" s="294" customFormat="1" ht="15.75" x14ac:dyDescent="0.25">
      <c r="A20" s="17" t="s">
        <v>317</v>
      </c>
      <c r="B20" s="303">
        <v>18805.22812</v>
      </c>
      <c r="C20" s="303">
        <f>'[3]BANCO DE DADOS'!$B$665</f>
        <v>18770.550729999999</v>
      </c>
      <c r="D20" s="303">
        <v>18800.49512</v>
      </c>
      <c r="E20" s="303">
        <v>18899.56926</v>
      </c>
      <c r="F20" s="303">
        <v>18860.38394</v>
      </c>
      <c r="G20" s="303">
        <v>18890.328420000002</v>
      </c>
      <c r="H20" s="303">
        <v>18773.07346</v>
      </c>
      <c r="I20" s="303">
        <v>18800.014190000002</v>
      </c>
      <c r="J20" s="304">
        <v>18903.545149999998</v>
      </c>
      <c r="K20" s="304">
        <v>29319.011121079639</v>
      </c>
      <c r="L20" s="304">
        <v>28652.303179743838</v>
      </c>
      <c r="M20" s="304">
        <v>28069.4</v>
      </c>
      <c r="N20" s="304">
        <v>19017</v>
      </c>
      <c r="O20" s="304">
        <v>19046</v>
      </c>
      <c r="P20" s="304">
        <v>19288</v>
      </c>
      <c r="Q20" s="304">
        <v>19874</v>
      </c>
      <c r="R20" s="304">
        <v>19545</v>
      </c>
      <c r="S20" s="304">
        <v>19645</v>
      </c>
      <c r="T20" s="304">
        <v>19895</v>
      </c>
      <c r="U20" s="304">
        <v>19967</v>
      </c>
      <c r="V20" s="304">
        <v>20029</v>
      </c>
      <c r="W20" s="304">
        <v>19884</v>
      </c>
      <c r="X20" s="304">
        <v>19893</v>
      </c>
      <c r="Y20" s="304">
        <v>19888</v>
      </c>
      <c r="Z20" s="304">
        <v>15457</v>
      </c>
      <c r="AA20" s="304">
        <v>11044</v>
      </c>
      <c r="AB20" s="304">
        <v>6369</v>
      </c>
      <c r="AC20" s="304">
        <v>1851</v>
      </c>
      <c r="AD20" s="304">
        <v>1477</v>
      </c>
      <c r="AE20" s="304">
        <v>0</v>
      </c>
      <c r="AF20" s="304">
        <v>0</v>
      </c>
      <c r="AG20" s="304">
        <v>0</v>
      </c>
      <c r="AH20" s="304">
        <v>0</v>
      </c>
      <c r="AI20" s="304">
        <v>0</v>
      </c>
      <c r="AJ20" s="304">
        <v>2175</v>
      </c>
      <c r="AK20" s="304">
        <v>2371</v>
      </c>
      <c r="AL20" s="304">
        <v>2335</v>
      </c>
      <c r="AM20" s="304">
        <v>0</v>
      </c>
      <c r="AN20" s="304">
        <v>0</v>
      </c>
      <c r="AO20" s="304">
        <v>0</v>
      </c>
      <c r="AP20" s="163"/>
      <c r="AQ20" s="165"/>
    </row>
    <row r="21" spans="1:16315" s="294" customFormat="1" ht="15.75" x14ac:dyDescent="0.25">
      <c r="A21" s="45" t="s">
        <v>318</v>
      </c>
      <c r="B21" s="301"/>
      <c r="C21" s="301"/>
      <c r="D21" s="301"/>
      <c r="E21" s="301"/>
      <c r="F21" s="301"/>
      <c r="G21" s="301"/>
      <c r="H21" s="301">
        <v>0</v>
      </c>
      <c r="I21" s="301">
        <v>0</v>
      </c>
      <c r="J21" s="302">
        <v>0</v>
      </c>
      <c r="K21" s="302"/>
      <c r="L21" s="302">
        <v>0</v>
      </c>
      <c r="M21" s="302">
        <v>0</v>
      </c>
      <c r="N21" s="302">
        <v>0</v>
      </c>
      <c r="O21" s="302">
        <v>0</v>
      </c>
      <c r="P21" s="302">
        <v>0</v>
      </c>
      <c r="Q21" s="302">
        <v>0</v>
      </c>
      <c r="R21" s="302">
        <v>0</v>
      </c>
      <c r="S21" s="302">
        <v>0</v>
      </c>
      <c r="T21" s="302">
        <v>0</v>
      </c>
      <c r="U21" s="302">
        <v>0</v>
      </c>
      <c r="V21" s="302">
        <v>0</v>
      </c>
      <c r="W21" s="302">
        <v>0</v>
      </c>
      <c r="X21" s="302">
        <v>0</v>
      </c>
      <c r="Y21" s="302">
        <v>0</v>
      </c>
      <c r="Z21" s="302">
        <v>0</v>
      </c>
      <c r="AA21" s="302">
        <v>0</v>
      </c>
      <c r="AB21" s="302">
        <v>0</v>
      </c>
      <c r="AC21" s="302">
        <v>0</v>
      </c>
      <c r="AD21" s="302">
        <v>0</v>
      </c>
      <c r="AE21" s="302">
        <v>0</v>
      </c>
      <c r="AF21" s="302">
        <v>0</v>
      </c>
      <c r="AG21" s="302">
        <v>0</v>
      </c>
      <c r="AH21" s="302">
        <v>0</v>
      </c>
      <c r="AI21" s="302">
        <v>0</v>
      </c>
      <c r="AJ21" s="302">
        <v>0</v>
      </c>
      <c r="AK21" s="302">
        <v>0</v>
      </c>
      <c r="AL21" s="302">
        <v>0</v>
      </c>
      <c r="AM21" s="302">
        <v>0</v>
      </c>
      <c r="AN21" s="302">
        <v>0</v>
      </c>
      <c r="AO21" s="302">
        <v>0</v>
      </c>
      <c r="AP21" s="163"/>
      <c r="AQ21" s="163"/>
    </row>
    <row r="22" spans="1:16315" s="294" customFormat="1" ht="15.75" x14ac:dyDescent="0.25">
      <c r="A22" s="20" t="s">
        <v>314</v>
      </c>
      <c r="B22" s="303">
        <v>0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0</v>
      </c>
      <c r="P22" s="304">
        <v>0</v>
      </c>
      <c r="Q22" s="304">
        <v>0</v>
      </c>
      <c r="R22" s="304">
        <v>28992</v>
      </c>
      <c r="S22" s="304">
        <v>29053</v>
      </c>
      <c r="T22" s="304">
        <v>58135</v>
      </c>
      <c r="U22" s="304">
        <v>58135</v>
      </c>
      <c r="V22" s="304">
        <v>58715</v>
      </c>
      <c r="W22" s="304">
        <v>58665</v>
      </c>
      <c r="X22" s="304">
        <v>59076</v>
      </c>
      <c r="Y22" s="304">
        <v>58833</v>
      </c>
      <c r="Z22" s="304">
        <v>59232</v>
      </c>
      <c r="AA22" s="304">
        <v>59207</v>
      </c>
      <c r="AB22" s="304">
        <v>59537</v>
      </c>
      <c r="AC22" s="304">
        <v>59251</v>
      </c>
      <c r="AD22" s="304">
        <v>59096</v>
      </c>
      <c r="AE22" s="304">
        <v>59498</v>
      </c>
      <c r="AF22" s="304">
        <v>30609</v>
      </c>
      <c r="AG22" s="304">
        <v>30356</v>
      </c>
      <c r="AH22" s="304">
        <v>1840</v>
      </c>
      <c r="AI22" s="304">
        <v>2026</v>
      </c>
      <c r="AJ22" s="304">
        <v>2324</v>
      </c>
      <c r="AK22" s="304">
        <v>2476</v>
      </c>
      <c r="AL22" s="304">
        <v>0</v>
      </c>
      <c r="AM22" s="304">
        <v>0</v>
      </c>
      <c r="AN22" s="304">
        <v>0</v>
      </c>
      <c r="AO22" s="304">
        <v>0</v>
      </c>
      <c r="AP22" s="163"/>
      <c r="AQ22" s="165"/>
    </row>
    <row r="23" spans="1:16315" s="294" customFormat="1" ht="15.75" x14ac:dyDescent="0.25">
      <c r="A23" s="47" t="s">
        <v>315</v>
      </c>
      <c r="B23" s="301">
        <v>0</v>
      </c>
      <c r="C23" s="301">
        <v>0</v>
      </c>
      <c r="D23" s="301">
        <v>0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  <c r="J23" s="302">
        <v>51934.885919999993</v>
      </c>
      <c r="K23" s="302">
        <v>36583.685472466932</v>
      </c>
      <c r="L23" s="302">
        <v>35576.280486042582</v>
      </c>
      <c r="M23" s="302">
        <v>34743.5</v>
      </c>
      <c r="N23" s="302">
        <v>53237</v>
      </c>
      <c r="O23" s="302">
        <v>51424</v>
      </c>
      <c r="P23" s="302">
        <v>49947</v>
      </c>
      <c r="Q23" s="302">
        <v>47733</v>
      </c>
      <c r="R23" s="302">
        <v>53712</v>
      </c>
      <c r="S23" s="302">
        <v>51045</v>
      </c>
      <c r="T23" s="302">
        <v>48628</v>
      </c>
      <c r="U23" s="302">
        <v>45763</v>
      </c>
      <c r="V23" s="302">
        <v>52391</v>
      </c>
      <c r="W23" s="302">
        <v>48583</v>
      </c>
      <c r="X23" s="302">
        <v>45213</v>
      </c>
      <c r="Y23" s="302">
        <v>41657</v>
      </c>
      <c r="Z23" s="302">
        <v>49565</v>
      </c>
      <c r="AA23" s="302">
        <v>45783</v>
      </c>
      <c r="AB23" s="302">
        <v>42456</v>
      </c>
      <c r="AC23" s="302">
        <v>38897</v>
      </c>
      <c r="AD23" s="302">
        <v>48239</v>
      </c>
      <c r="AE23" s="302">
        <v>44479</v>
      </c>
      <c r="AF23" s="302">
        <v>40828</v>
      </c>
      <c r="AG23" s="302">
        <v>37097</v>
      </c>
      <c r="AH23" s="302">
        <v>10892</v>
      </c>
      <c r="AI23" s="302">
        <v>7617</v>
      </c>
      <c r="AJ23" s="302">
        <v>4438</v>
      </c>
      <c r="AK23" s="302">
        <v>1451</v>
      </c>
      <c r="AL23" s="302">
        <v>0</v>
      </c>
      <c r="AM23" s="302">
        <v>0</v>
      </c>
      <c r="AN23" s="302">
        <v>0</v>
      </c>
      <c r="AO23" s="302">
        <v>0</v>
      </c>
      <c r="AP23" s="163"/>
      <c r="AQ23" s="163"/>
    </row>
    <row r="24" spans="1:16315" s="294" customFormat="1" ht="15.75" x14ac:dyDescent="0.25">
      <c r="A24" s="17" t="s">
        <v>319</v>
      </c>
      <c r="B24" s="303"/>
      <c r="C24" s="303"/>
      <c r="D24" s="303"/>
      <c r="E24" s="303"/>
      <c r="F24" s="303"/>
      <c r="G24" s="303"/>
      <c r="H24" s="303">
        <v>0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  <c r="N24" s="303">
        <v>0</v>
      </c>
      <c r="O24" s="303">
        <v>0</v>
      </c>
      <c r="P24" s="303">
        <v>0</v>
      </c>
      <c r="Q24" s="303">
        <v>0</v>
      </c>
      <c r="R24" s="303">
        <v>0</v>
      </c>
      <c r="S24" s="303">
        <v>0</v>
      </c>
      <c r="T24" s="303">
        <v>0</v>
      </c>
      <c r="U24" s="303">
        <v>0</v>
      </c>
      <c r="V24" s="303">
        <v>0</v>
      </c>
      <c r="W24" s="303">
        <v>0</v>
      </c>
      <c r="X24" s="303">
        <v>0</v>
      </c>
      <c r="Y24" s="303">
        <v>0</v>
      </c>
      <c r="Z24" s="303">
        <v>0</v>
      </c>
      <c r="AA24" s="303">
        <v>0</v>
      </c>
      <c r="AB24" s="304">
        <v>0</v>
      </c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163"/>
      <c r="AQ24" s="165"/>
    </row>
    <row r="25" spans="1:16315" s="294" customFormat="1" ht="15.75" x14ac:dyDescent="0.25">
      <c r="A25" s="47" t="s">
        <v>314</v>
      </c>
      <c r="B25" s="301">
        <v>0</v>
      </c>
      <c r="C25" s="301">
        <v>0</v>
      </c>
      <c r="D25" s="301">
        <v>0</v>
      </c>
      <c r="E25" s="301">
        <v>0</v>
      </c>
      <c r="F25" s="301">
        <v>0</v>
      </c>
      <c r="G25" s="301">
        <v>0</v>
      </c>
      <c r="H25" s="301">
        <v>0</v>
      </c>
      <c r="I25" s="301">
        <v>131782.94930000001</v>
      </c>
      <c r="J25" s="302">
        <v>131818.15244000001</v>
      </c>
      <c r="K25" s="302">
        <v>131845.76671</v>
      </c>
      <c r="L25" s="302">
        <v>131810.69951999999</v>
      </c>
      <c r="M25" s="302">
        <v>1860.4</v>
      </c>
      <c r="N25" s="302">
        <v>2037</v>
      </c>
      <c r="O25" s="302">
        <v>2574</v>
      </c>
      <c r="P25" s="302">
        <v>2933</v>
      </c>
      <c r="Q25" s="302">
        <v>3466</v>
      </c>
      <c r="R25" s="302">
        <v>3649</v>
      </c>
      <c r="S25" s="302">
        <v>4035</v>
      </c>
      <c r="T25" s="302">
        <v>3883</v>
      </c>
      <c r="U25" s="302">
        <v>3808</v>
      </c>
      <c r="V25" s="302">
        <v>3961</v>
      </c>
      <c r="W25" s="302">
        <v>4008</v>
      </c>
      <c r="X25" s="302">
        <v>3569</v>
      </c>
      <c r="Y25" s="302">
        <v>3317</v>
      </c>
      <c r="Z25" s="302">
        <v>3232</v>
      </c>
      <c r="AA25" s="302">
        <v>3192</v>
      </c>
      <c r="AB25" s="302">
        <v>2896</v>
      </c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163"/>
      <c r="AQ25" s="163"/>
    </row>
    <row r="26" spans="1:16315" s="294" customFormat="1" ht="15.75" x14ac:dyDescent="0.25">
      <c r="A26" s="20" t="s">
        <v>315</v>
      </c>
      <c r="B26" s="303">
        <v>35735.724510000007</v>
      </c>
      <c r="C26" s="303">
        <f>'[3]BANCO DE DADOS'!$B$671</f>
        <v>34283.234039999996</v>
      </c>
      <c r="D26" s="303">
        <v>33375.417659999999</v>
      </c>
      <c r="E26" s="303">
        <v>39783.43101</v>
      </c>
      <c r="F26" s="303">
        <v>37409.077989999998</v>
      </c>
      <c r="G26" s="303">
        <v>35409.195930000002</v>
      </c>
      <c r="H26" s="303">
        <v>33461.764969999997</v>
      </c>
      <c r="I26" s="303">
        <v>38310.476740000006</v>
      </c>
      <c r="J26" s="304">
        <v>36244.305369999995</v>
      </c>
      <c r="K26" s="304">
        <v>33511.302918831934</v>
      </c>
      <c r="L26" s="304">
        <v>31603.607851124925</v>
      </c>
      <c r="M26" s="304">
        <v>38590.400000000001</v>
      </c>
      <c r="N26" s="304">
        <v>36190</v>
      </c>
      <c r="O26" s="304">
        <v>33749</v>
      </c>
      <c r="P26" s="304">
        <v>31510</v>
      </c>
      <c r="Q26" s="304">
        <v>39949</v>
      </c>
      <c r="R26" s="304">
        <v>36883</v>
      </c>
      <c r="S26" s="304">
        <v>34485</v>
      </c>
      <c r="T26" s="304">
        <v>31582</v>
      </c>
      <c r="U26" s="304">
        <v>9972</v>
      </c>
      <c r="V26" s="304">
        <v>7157</v>
      </c>
      <c r="W26" s="304">
        <v>4503</v>
      </c>
      <c r="X26" s="304">
        <v>1951</v>
      </c>
      <c r="Y26" s="304">
        <v>9114</v>
      </c>
      <c r="Z26" s="304">
        <v>6552</v>
      </c>
      <c r="AA26" s="304">
        <v>4112</v>
      </c>
      <c r="AB26" s="304">
        <v>1764</v>
      </c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163"/>
      <c r="AQ26" s="165"/>
    </row>
    <row r="27" spans="1:16315" s="294" customFormat="1" ht="15.75" x14ac:dyDescent="0.25">
      <c r="A27" s="45" t="s">
        <v>320</v>
      </c>
      <c r="B27" s="301"/>
      <c r="C27" s="301"/>
      <c r="D27" s="301"/>
      <c r="E27" s="301"/>
      <c r="F27" s="301"/>
      <c r="G27" s="301"/>
      <c r="H27" s="301">
        <v>0</v>
      </c>
      <c r="I27" s="301">
        <v>0</v>
      </c>
      <c r="J27" s="302">
        <v>0</v>
      </c>
      <c r="K27" s="302"/>
      <c r="L27" s="302">
        <v>0</v>
      </c>
      <c r="M27" s="302">
        <v>0</v>
      </c>
      <c r="N27" s="302">
        <v>0</v>
      </c>
      <c r="O27" s="302">
        <v>0</v>
      </c>
      <c r="P27" s="302">
        <v>0</v>
      </c>
      <c r="Q27" s="302">
        <v>0</v>
      </c>
      <c r="R27" s="302">
        <v>0</v>
      </c>
      <c r="S27" s="302">
        <v>0</v>
      </c>
      <c r="T27" s="302">
        <v>0</v>
      </c>
      <c r="U27" s="302">
        <v>0</v>
      </c>
      <c r="V27" s="302">
        <v>0</v>
      </c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163"/>
      <c r="AQ27" s="163"/>
    </row>
    <row r="28" spans="1:16315" s="294" customFormat="1" ht="15.75" x14ac:dyDescent="0.25">
      <c r="A28" s="20" t="s">
        <v>314</v>
      </c>
      <c r="B28" s="303">
        <v>8859.5696399999997</v>
      </c>
      <c r="C28" s="303">
        <f>'[3]BANCO DE DADOS'!$B$673</f>
        <v>8106.6771799999997</v>
      </c>
      <c r="D28" s="303">
        <v>5850.4107600000007</v>
      </c>
      <c r="E28" s="303">
        <v>8063.8118299999996</v>
      </c>
      <c r="F28" s="303">
        <v>8081.8791900000015</v>
      </c>
      <c r="G28" s="303">
        <v>7240.4767100000008</v>
      </c>
      <c r="H28" s="303">
        <v>7233.2106199999989</v>
      </c>
      <c r="I28" s="303">
        <v>7275.107649999999</v>
      </c>
      <c r="J28" s="304">
        <v>7233.2780400000001</v>
      </c>
      <c r="K28" s="304">
        <v>8762.5462691008106</v>
      </c>
      <c r="L28" s="304">
        <v>8449.8499836685205</v>
      </c>
      <c r="M28" s="304">
        <v>8481.2000000000007</v>
      </c>
      <c r="N28" s="304">
        <v>8995</v>
      </c>
      <c r="O28" s="304">
        <v>8949</v>
      </c>
      <c r="P28" s="304">
        <v>6009</v>
      </c>
      <c r="Q28" s="304">
        <v>6052</v>
      </c>
      <c r="R28" s="304">
        <v>5998</v>
      </c>
      <c r="S28" s="304">
        <v>4542</v>
      </c>
      <c r="T28" s="304">
        <v>3087</v>
      </c>
      <c r="U28" s="304">
        <v>1616</v>
      </c>
      <c r="V28" s="304">
        <v>133</v>
      </c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163"/>
      <c r="AQ28" s="165"/>
    </row>
    <row r="29" spans="1:16315" s="294" customFormat="1" ht="15.75" x14ac:dyDescent="0.25">
      <c r="A29" s="47" t="s">
        <v>321</v>
      </c>
      <c r="B29" s="301">
        <v>4553.6793600000001</v>
      </c>
      <c r="C29" s="301">
        <f>'[3]BANCO DE DADOS'!$B$674</f>
        <v>4061.1166299999995</v>
      </c>
      <c r="D29" s="301">
        <v>2899.5720799999999</v>
      </c>
      <c r="E29" s="301">
        <v>4013.9555700000001</v>
      </c>
      <c r="F29" s="301">
        <v>3943.5702200000005</v>
      </c>
      <c r="G29" s="301">
        <v>3463.8766199999995</v>
      </c>
      <c r="H29" s="301">
        <v>3437.5558299999998</v>
      </c>
      <c r="I29" s="301">
        <v>3409.0806799999996</v>
      </c>
      <c r="J29" s="302">
        <v>3371.3659600000001</v>
      </c>
      <c r="K29" s="302">
        <v>4971.9567020595068</v>
      </c>
      <c r="L29" s="302">
        <v>3829.3340747477778</v>
      </c>
      <c r="M29" s="302">
        <v>3821.7</v>
      </c>
      <c r="N29" s="302">
        <v>4034</v>
      </c>
      <c r="O29" s="302">
        <v>4016</v>
      </c>
      <c r="P29" s="302">
        <v>2749</v>
      </c>
      <c r="Q29" s="302">
        <v>2754</v>
      </c>
      <c r="R29" s="302">
        <v>2713</v>
      </c>
      <c r="S29" s="302">
        <v>2056</v>
      </c>
      <c r="T29" s="302">
        <v>1252</v>
      </c>
      <c r="U29" s="302">
        <v>730</v>
      </c>
      <c r="V29" s="302">
        <v>393</v>
      </c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163"/>
      <c r="AQ29" s="163"/>
    </row>
    <row r="30" spans="1:16315" s="294" customFormat="1" ht="15.75" x14ac:dyDescent="0.25">
      <c r="A30" s="17" t="s">
        <v>322</v>
      </c>
      <c r="B30" s="303"/>
      <c r="C30" s="303"/>
      <c r="D30" s="303"/>
      <c r="E30" s="303"/>
      <c r="F30" s="303"/>
      <c r="G30" s="303"/>
      <c r="H30" s="303">
        <v>0</v>
      </c>
      <c r="I30" s="303">
        <v>0</v>
      </c>
      <c r="J30" s="304">
        <v>0</v>
      </c>
      <c r="K30" s="304">
        <v>0</v>
      </c>
      <c r="L30" s="304">
        <v>0</v>
      </c>
      <c r="M30" s="304">
        <v>0</v>
      </c>
      <c r="N30" s="304">
        <v>0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163"/>
      <c r="AQ30" s="165"/>
    </row>
    <row r="31" spans="1:16315" s="294" customFormat="1" ht="15.75" x14ac:dyDescent="0.25">
      <c r="A31" s="47" t="s">
        <v>314</v>
      </c>
      <c r="B31" s="301">
        <v>0</v>
      </c>
      <c r="C31" s="301">
        <v>0</v>
      </c>
      <c r="D31" s="301">
        <v>0</v>
      </c>
      <c r="E31" s="301">
        <v>0</v>
      </c>
      <c r="F31" s="301">
        <v>0</v>
      </c>
      <c r="G31" s="301">
        <v>0</v>
      </c>
      <c r="H31" s="301">
        <v>0</v>
      </c>
      <c r="I31" s="301">
        <v>0</v>
      </c>
      <c r="J31" s="302">
        <v>0</v>
      </c>
      <c r="K31" s="302">
        <v>0</v>
      </c>
      <c r="L31" s="302">
        <v>104879.10434449156</v>
      </c>
      <c r="M31" s="302">
        <v>105051.7</v>
      </c>
      <c r="N31" s="302">
        <v>113633</v>
      </c>
      <c r="O31" s="302">
        <v>114828</v>
      </c>
      <c r="P31" s="302">
        <v>88167</v>
      </c>
      <c r="Q31" s="302">
        <v>60981</v>
      </c>
      <c r="R31" s="302">
        <v>33694</v>
      </c>
      <c r="S31" s="302">
        <v>6821</v>
      </c>
      <c r="T31" s="302">
        <v>6612</v>
      </c>
      <c r="U31" s="302">
        <v>6404</v>
      </c>
      <c r="V31" s="302">
        <v>6617</v>
      </c>
      <c r="W31" s="302">
        <v>4739</v>
      </c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163"/>
      <c r="AQ31" s="163"/>
    </row>
    <row r="32" spans="1:16315" s="294" customFormat="1" ht="15.75" x14ac:dyDescent="0.25">
      <c r="A32" s="20" t="s">
        <v>315</v>
      </c>
      <c r="B32" s="303">
        <v>0</v>
      </c>
      <c r="C32" s="303">
        <v>0</v>
      </c>
      <c r="D32" s="303">
        <v>0</v>
      </c>
      <c r="E32" s="303">
        <v>0</v>
      </c>
      <c r="F32" s="303">
        <v>0</v>
      </c>
      <c r="G32" s="303">
        <v>0</v>
      </c>
      <c r="H32" s="303">
        <v>0</v>
      </c>
      <c r="I32" s="303">
        <v>0</v>
      </c>
      <c r="J32" s="304">
        <v>0</v>
      </c>
      <c r="K32" s="304">
        <v>0</v>
      </c>
      <c r="L32" s="304">
        <v>226.61538000000002</v>
      </c>
      <c r="M32" s="304">
        <v>211.3</v>
      </c>
      <c r="N32" s="304">
        <v>209</v>
      </c>
      <c r="O32" s="304">
        <v>229</v>
      </c>
      <c r="P32" s="304">
        <v>220</v>
      </c>
      <c r="Q32" s="304">
        <v>199</v>
      </c>
      <c r="R32" s="304">
        <v>203</v>
      </c>
      <c r="S32" s="304">
        <v>215</v>
      </c>
      <c r="T32" s="304">
        <v>206</v>
      </c>
      <c r="U32" s="304">
        <v>202</v>
      </c>
      <c r="V32" s="304">
        <v>202</v>
      </c>
      <c r="W32" s="304">
        <v>138</v>
      </c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163"/>
      <c r="AQ32" s="165"/>
    </row>
    <row r="33" spans="1:43" s="294" customFormat="1" ht="15.75" x14ac:dyDescent="0.25">
      <c r="A33" s="45" t="s">
        <v>323</v>
      </c>
      <c r="B33" s="301">
        <v>0</v>
      </c>
      <c r="C33" s="301">
        <v>0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2">
        <v>0</v>
      </c>
      <c r="K33" s="302">
        <v>0</v>
      </c>
      <c r="L33" s="302">
        <v>65116.846397470101</v>
      </c>
      <c r="M33" s="302">
        <v>62795.4</v>
      </c>
      <c r="N33" s="302">
        <v>43448</v>
      </c>
      <c r="O33" s="302">
        <v>40504</v>
      </c>
      <c r="P33" s="302">
        <v>56945</v>
      </c>
      <c r="Q33" s="302">
        <v>52331</v>
      </c>
      <c r="R33" s="302">
        <v>26519</v>
      </c>
      <c r="S33" s="302">
        <v>21082</v>
      </c>
      <c r="T33" s="302">
        <v>0</v>
      </c>
      <c r="U33" s="302">
        <v>0</v>
      </c>
      <c r="V33" s="302">
        <v>0</v>
      </c>
      <c r="W33" s="302">
        <v>0</v>
      </c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163"/>
      <c r="AQ33" s="163"/>
    </row>
    <row r="34" spans="1:43" s="294" customFormat="1" ht="15.75" x14ac:dyDescent="0.25">
      <c r="A34" s="17" t="s">
        <v>35</v>
      </c>
      <c r="B34" s="303"/>
      <c r="C34" s="303"/>
      <c r="D34" s="303"/>
      <c r="E34" s="303"/>
      <c r="F34" s="303"/>
      <c r="G34" s="303"/>
      <c r="H34" s="303">
        <v>0</v>
      </c>
      <c r="I34" s="303">
        <v>0</v>
      </c>
      <c r="J34" s="304">
        <v>0</v>
      </c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163"/>
      <c r="AQ34" s="165"/>
    </row>
    <row r="35" spans="1:43" s="294" customFormat="1" ht="15.75" x14ac:dyDescent="0.25">
      <c r="A35" s="47" t="s">
        <v>314</v>
      </c>
      <c r="B35" s="301">
        <v>13112.54076</v>
      </c>
      <c r="C35" s="301">
        <f>'[3]BANCO DE DADOS'!$B$680</f>
        <v>10086.381299999999</v>
      </c>
      <c r="D35" s="301">
        <v>7290.3504899999998</v>
      </c>
      <c r="E35" s="301">
        <v>10169.23956</v>
      </c>
      <c r="F35" s="301">
        <v>10197.131220000001</v>
      </c>
      <c r="G35" s="301">
        <v>10198.630080000001</v>
      </c>
      <c r="H35" s="301">
        <v>10182.024559999998</v>
      </c>
      <c r="I35" s="301">
        <v>6565.6528200000012</v>
      </c>
      <c r="J35" s="302">
        <v>7093.5727500000012</v>
      </c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163"/>
      <c r="AQ35" s="163"/>
    </row>
    <row r="36" spans="1:43" s="294" customFormat="1" ht="15.75" x14ac:dyDescent="0.25">
      <c r="A36" s="20" t="s">
        <v>315</v>
      </c>
      <c r="B36" s="303">
        <v>6423.4550400000016</v>
      </c>
      <c r="C36" s="303">
        <f>'[3]BANCO DE DADOS'!$B$681</f>
        <v>4809.2653500000006</v>
      </c>
      <c r="D36" s="303">
        <v>3443.3704199999997</v>
      </c>
      <c r="E36" s="303">
        <v>4812.3617899999999</v>
      </c>
      <c r="F36" s="303">
        <v>4721.6149799999994</v>
      </c>
      <c r="G36" s="303">
        <v>4701.19355</v>
      </c>
      <c r="H36" s="303">
        <v>4653.6506360509766</v>
      </c>
      <c r="I36" s="303">
        <v>2999.2732539490253</v>
      </c>
      <c r="J36" s="304">
        <v>3271.0920218749998</v>
      </c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163"/>
      <c r="AQ36" s="165"/>
    </row>
    <row r="37" spans="1:43" s="294" customFormat="1" ht="15.75" x14ac:dyDescent="0.25">
      <c r="A37" s="45" t="s">
        <v>324</v>
      </c>
      <c r="B37" s="301"/>
      <c r="C37" s="301"/>
      <c r="D37" s="301"/>
      <c r="E37" s="301"/>
      <c r="F37" s="301"/>
      <c r="G37" s="301"/>
      <c r="H37" s="301">
        <v>0</v>
      </c>
      <c r="I37" s="301">
        <v>0</v>
      </c>
      <c r="J37" s="302">
        <v>0</v>
      </c>
      <c r="K37" s="302">
        <v>0</v>
      </c>
      <c r="L37" s="302">
        <v>0</v>
      </c>
      <c r="M37" s="302">
        <v>0</v>
      </c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163"/>
      <c r="AQ37" s="163"/>
    </row>
    <row r="38" spans="1:43" s="294" customFormat="1" ht="15.75" x14ac:dyDescent="0.25">
      <c r="A38" s="20" t="s">
        <v>325</v>
      </c>
      <c r="B38" s="303">
        <v>39605.144919999999</v>
      </c>
      <c r="C38" s="303">
        <f>'[3]BANCO DE DADOS'!$B$683</f>
        <v>36115.367810000003</v>
      </c>
      <c r="D38" s="303">
        <v>4523.4522400000005</v>
      </c>
      <c r="E38" s="303">
        <v>2082.04036</v>
      </c>
      <c r="F38" s="303">
        <v>4719.8846599999997</v>
      </c>
      <c r="G38" s="303">
        <v>2155.4844800000001</v>
      </c>
      <c r="H38" s="303">
        <v>4440.0796600000003</v>
      </c>
      <c r="I38" s="303">
        <v>1963.1733200000001</v>
      </c>
      <c r="J38" s="304">
        <v>4413.0295800000004</v>
      </c>
      <c r="K38" s="304">
        <v>2007.0231999999999</v>
      </c>
      <c r="L38" s="304">
        <v>3596.6999700000006</v>
      </c>
      <c r="M38" s="304">
        <v>1220.0999999999999</v>
      </c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163"/>
      <c r="AQ38" s="165"/>
    </row>
    <row r="39" spans="1:43" s="294" customFormat="1" ht="15.75" x14ac:dyDescent="0.25">
      <c r="A39" s="47" t="s">
        <v>326</v>
      </c>
      <c r="B39" s="301">
        <v>2167.0397699999999</v>
      </c>
      <c r="C39" s="301">
        <f>'[3]BANCO DE DADOS'!$B$684</f>
        <v>970.37288999999998</v>
      </c>
      <c r="D39" s="301">
        <v>2025.41543</v>
      </c>
      <c r="E39" s="301">
        <v>932.02589999999998</v>
      </c>
      <c r="F39" s="301">
        <v>2113.4202700000001</v>
      </c>
      <c r="G39" s="301">
        <v>964.91466000000003</v>
      </c>
      <c r="H39" s="301">
        <v>1988.0846299999998</v>
      </c>
      <c r="I39" s="301">
        <v>878.81150000000002</v>
      </c>
      <c r="J39" s="302">
        <v>1975.98848</v>
      </c>
      <c r="K39" s="302">
        <v>898.44795999999997</v>
      </c>
      <c r="L39" s="302">
        <v>1610.3450400000002</v>
      </c>
      <c r="M39" s="302">
        <v>546.1</v>
      </c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163"/>
      <c r="AQ39" s="163"/>
    </row>
    <row r="40" spans="1:43" s="294" customFormat="1" ht="15.75" x14ac:dyDescent="0.25">
      <c r="A40" s="17" t="s">
        <v>36</v>
      </c>
      <c r="B40" s="303"/>
      <c r="C40" s="303"/>
      <c r="D40" s="303"/>
      <c r="E40" s="303"/>
      <c r="F40" s="303"/>
      <c r="G40" s="303"/>
      <c r="H40" s="303">
        <v>0</v>
      </c>
      <c r="I40" s="303">
        <v>0</v>
      </c>
      <c r="J40" s="304">
        <v>0</v>
      </c>
      <c r="K40" s="304">
        <v>0</v>
      </c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163"/>
      <c r="AQ40" s="165"/>
    </row>
    <row r="41" spans="1:43" s="294" customFormat="1" ht="15.75" x14ac:dyDescent="0.25">
      <c r="A41" s="47" t="s">
        <v>37</v>
      </c>
      <c r="B41" s="301">
        <v>93484.633130000002</v>
      </c>
      <c r="C41" s="301">
        <f>'[3]BANCO DE DADOS'!$B$686</f>
        <v>93015.576690000002</v>
      </c>
      <c r="D41" s="301">
        <v>1574.2274</v>
      </c>
      <c r="E41" s="301">
        <v>834.25377000000003</v>
      </c>
      <c r="F41" s="301">
        <v>2505.9059400000001</v>
      </c>
      <c r="G41" s="301">
        <v>1257.99731</v>
      </c>
      <c r="H41" s="301">
        <v>2794.9603500000003</v>
      </c>
      <c r="I41" s="301">
        <v>1251.15679</v>
      </c>
      <c r="J41" s="302">
        <v>2642.7099900000003</v>
      </c>
      <c r="K41" s="302">
        <v>1101.4077</v>
      </c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163"/>
      <c r="AQ41" s="163"/>
    </row>
    <row r="42" spans="1:43" s="294" customFormat="1" ht="15.75" x14ac:dyDescent="0.25">
      <c r="A42" s="20" t="s">
        <v>38</v>
      </c>
      <c r="B42" s="303">
        <v>5309.0940199999995</v>
      </c>
      <c r="C42" s="303">
        <f>'[3]BANCO DE DADOS'!$B$687</f>
        <v>2493.8862599999998</v>
      </c>
      <c r="D42" s="303">
        <v>9448.6702100000002</v>
      </c>
      <c r="E42" s="303">
        <v>5006.6980700000004</v>
      </c>
      <c r="F42" s="303">
        <v>15042.84484</v>
      </c>
      <c r="G42" s="303">
        <v>7550.2454400000006</v>
      </c>
      <c r="H42" s="303">
        <v>16778.762179999998</v>
      </c>
      <c r="I42" s="303">
        <v>7509.1803</v>
      </c>
      <c r="J42" s="304">
        <v>15864.39876</v>
      </c>
      <c r="K42" s="304">
        <v>6610.2639500000005</v>
      </c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163"/>
      <c r="AQ42" s="165"/>
    </row>
    <row r="43" spans="1:43" s="294" customFormat="1" ht="15.75" x14ac:dyDescent="0.25">
      <c r="A43" s="47" t="s">
        <v>39</v>
      </c>
      <c r="B43" s="301">
        <v>2172.72156</v>
      </c>
      <c r="C43" s="301">
        <f>'[3]BANCO DE DADOS'!$B$688</f>
        <v>971.49946</v>
      </c>
      <c r="D43" s="301">
        <v>2030.5375100000001</v>
      </c>
      <c r="E43" s="301">
        <v>933.06481000000008</v>
      </c>
      <c r="F43" s="301">
        <v>2119.0598399999999</v>
      </c>
      <c r="G43" s="301">
        <v>966.05714</v>
      </c>
      <c r="H43" s="301">
        <v>1993.1123</v>
      </c>
      <c r="I43" s="301">
        <v>879.77084000000002</v>
      </c>
      <c r="J43" s="302">
        <v>1844.38374</v>
      </c>
      <c r="K43" s="302">
        <v>764.16732000000002</v>
      </c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163"/>
      <c r="AQ43" s="163"/>
    </row>
    <row r="44" spans="1:43" s="294" customFormat="1" ht="15.75" x14ac:dyDescent="0.25">
      <c r="A44" s="17" t="s">
        <v>296</v>
      </c>
      <c r="B44" s="303"/>
      <c r="C44" s="303"/>
      <c r="D44" s="303"/>
      <c r="E44" s="303"/>
      <c r="F44" s="303"/>
      <c r="G44" s="303"/>
      <c r="H44" s="303">
        <v>0</v>
      </c>
      <c r="I44" s="303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163"/>
      <c r="AQ44" s="165"/>
    </row>
    <row r="45" spans="1:43" s="294" customFormat="1" ht="15.75" x14ac:dyDescent="0.25">
      <c r="A45" s="47" t="s">
        <v>37</v>
      </c>
      <c r="B45" s="301">
        <v>9428.319489999998</v>
      </c>
      <c r="C45" s="301">
        <f>'[3]BANCO DE DADOS'!$B$690</f>
        <v>4738.7957000000006</v>
      </c>
      <c r="D45" s="301">
        <v>60.945</v>
      </c>
      <c r="E45" s="301">
        <v>97.371729999999999</v>
      </c>
      <c r="F45" s="301">
        <v>102.5719</v>
      </c>
      <c r="G45" s="301">
        <v>128.69192999999999</v>
      </c>
      <c r="H45" s="301">
        <v>0</v>
      </c>
      <c r="I45" s="301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163"/>
      <c r="AQ45" s="163"/>
    </row>
    <row r="46" spans="1:43" s="294" customFormat="1" ht="15.75" x14ac:dyDescent="0.25">
      <c r="A46" s="20" t="s">
        <v>38</v>
      </c>
      <c r="B46" s="303">
        <v>275.82486</v>
      </c>
      <c r="C46" s="303">
        <f>'[3]BANCO DE DADOS'!$B$691</f>
        <v>1871.0150100000001</v>
      </c>
      <c r="D46" s="303">
        <v>267.03359</v>
      </c>
      <c r="E46" s="303">
        <v>1767.7434099999998</v>
      </c>
      <c r="F46" s="303">
        <v>240.36618999999999</v>
      </c>
      <c r="G46" s="303">
        <v>1633.1223700000121</v>
      </c>
      <c r="H46" s="303">
        <v>0</v>
      </c>
      <c r="I46" s="303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163"/>
      <c r="AQ46" s="165"/>
    </row>
    <row r="47" spans="1:43" s="294" customFormat="1" ht="15.75" x14ac:dyDescent="0.25">
      <c r="A47" s="47" t="s">
        <v>444</v>
      </c>
      <c r="B47" s="301"/>
      <c r="C47" s="301"/>
      <c r="D47" s="301"/>
      <c r="E47" s="301"/>
      <c r="F47" s="301"/>
      <c r="G47" s="301"/>
      <c r="H47" s="301"/>
      <c r="I47" s="301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163"/>
      <c r="AQ47" s="163"/>
    </row>
    <row r="48" spans="1:43" s="294" customFormat="1" ht="15.75" x14ac:dyDescent="0.25">
      <c r="A48" s="17" t="s">
        <v>37</v>
      </c>
      <c r="B48" s="303">
        <v>574.46296999999993</v>
      </c>
      <c r="C48" s="303">
        <v>0</v>
      </c>
      <c r="D48" s="303">
        <v>0</v>
      </c>
      <c r="E48" s="303"/>
      <c r="F48" s="303"/>
      <c r="G48" s="303"/>
      <c r="H48" s="303"/>
      <c r="I48" s="303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163"/>
      <c r="AQ48" s="165"/>
    </row>
    <row r="49" spans="1:43" s="294" customFormat="1" ht="15.75" x14ac:dyDescent="0.25">
      <c r="A49" s="47" t="s">
        <v>40</v>
      </c>
      <c r="B49" s="301">
        <v>0</v>
      </c>
      <c r="C49" s="301">
        <v>0</v>
      </c>
      <c r="D49" s="301">
        <v>0</v>
      </c>
      <c r="E49" s="301">
        <v>0</v>
      </c>
      <c r="F49" s="301">
        <v>0</v>
      </c>
      <c r="G49" s="301">
        <v>0</v>
      </c>
      <c r="H49" s="301">
        <v>0</v>
      </c>
      <c r="I49" s="301">
        <v>0</v>
      </c>
      <c r="J49" s="302">
        <v>0</v>
      </c>
      <c r="K49" s="302">
        <v>2329.4423400000001</v>
      </c>
      <c r="L49" s="302">
        <v>2195.0102899999997</v>
      </c>
      <c r="M49" s="302">
        <v>2093</v>
      </c>
      <c r="N49" s="302">
        <v>1810</v>
      </c>
      <c r="O49" s="302">
        <v>1176</v>
      </c>
      <c r="P49" s="302">
        <v>914</v>
      </c>
      <c r="Q49" s="302">
        <v>786</v>
      </c>
      <c r="R49" s="302">
        <v>367</v>
      </c>
      <c r="S49" s="302">
        <v>0</v>
      </c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163"/>
      <c r="AQ49" s="163"/>
    </row>
    <row r="50" spans="1:43" s="294" customFormat="1" ht="15.75" x14ac:dyDescent="0.25">
      <c r="A50" s="17" t="s">
        <v>327</v>
      </c>
      <c r="B50" s="303">
        <v>0</v>
      </c>
      <c r="C50" s="303">
        <v>0</v>
      </c>
      <c r="D50" s="303">
        <v>0</v>
      </c>
      <c r="E50" s="303">
        <v>0</v>
      </c>
      <c r="F50" s="303">
        <v>0</v>
      </c>
      <c r="G50" s="303">
        <v>0</v>
      </c>
      <c r="H50" s="303">
        <v>0</v>
      </c>
      <c r="I50" s="303">
        <v>0</v>
      </c>
      <c r="J50" s="304">
        <v>0</v>
      </c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163"/>
      <c r="AQ50" s="165"/>
    </row>
    <row r="51" spans="1:43" s="294" customFormat="1" ht="15.75" x14ac:dyDescent="0.25">
      <c r="A51" s="47" t="s">
        <v>328</v>
      </c>
      <c r="B51" s="301">
        <v>0</v>
      </c>
      <c r="C51" s="301">
        <v>0</v>
      </c>
      <c r="D51" s="301">
        <v>0</v>
      </c>
      <c r="E51" s="301">
        <v>0</v>
      </c>
      <c r="F51" s="301">
        <v>0</v>
      </c>
      <c r="G51" s="301">
        <v>0</v>
      </c>
      <c r="H51" s="301">
        <v>0</v>
      </c>
      <c r="I51" s="301">
        <v>0</v>
      </c>
      <c r="J51" s="302">
        <v>0</v>
      </c>
      <c r="K51" s="302">
        <v>0</v>
      </c>
      <c r="L51" s="302">
        <v>0</v>
      </c>
      <c r="M51" s="302">
        <v>0</v>
      </c>
      <c r="N51" s="302">
        <v>0</v>
      </c>
      <c r="O51" s="302">
        <v>0</v>
      </c>
      <c r="P51" s="302">
        <v>0</v>
      </c>
      <c r="Q51" s="302">
        <v>0</v>
      </c>
      <c r="R51" s="302">
        <v>0</v>
      </c>
      <c r="S51" s="302">
        <v>0</v>
      </c>
      <c r="T51" s="302">
        <v>0</v>
      </c>
      <c r="U51" s="302">
        <v>0</v>
      </c>
      <c r="V51" s="302">
        <v>0</v>
      </c>
      <c r="W51" s="302">
        <v>0</v>
      </c>
      <c r="X51" s="302">
        <v>0</v>
      </c>
      <c r="Y51" s="302">
        <v>0</v>
      </c>
      <c r="Z51" s="302">
        <v>0</v>
      </c>
      <c r="AA51" s="302">
        <v>0</v>
      </c>
      <c r="AB51" s="302">
        <v>0</v>
      </c>
      <c r="AC51" s="302">
        <v>0</v>
      </c>
      <c r="AD51" s="302">
        <v>0</v>
      </c>
      <c r="AE51" s="302">
        <v>0</v>
      </c>
      <c r="AF51" s="302">
        <v>0</v>
      </c>
      <c r="AG51" s="302">
        <v>0</v>
      </c>
      <c r="AH51" s="302">
        <v>0</v>
      </c>
      <c r="AI51" s="302">
        <v>0</v>
      </c>
      <c r="AJ51" s="302">
        <v>6817</v>
      </c>
      <c r="AK51" s="302">
        <v>13094</v>
      </c>
      <c r="AL51" s="302">
        <v>19228</v>
      </c>
      <c r="AM51" s="302">
        <v>25020</v>
      </c>
      <c r="AN51" s="302">
        <v>24403</v>
      </c>
      <c r="AO51" s="302">
        <v>23870</v>
      </c>
      <c r="AP51" s="163"/>
      <c r="AQ51" s="163"/>
    </row>
    <row r="52" spans="1:43" s="294" customFormat="1" ht="15.75" x14ac:dyDescent="0.25">
      <c r="A52" s="17" t="s">
        <v>297</v>
      </c>
      <c r="B52" s="303">
        <v>4669.3251600000003</v>
      </c>
      <c r="C52" s="303">
        <f>'[3]BANCO DE DADOS'!$B$695</f>
        <v>10401.44051</v>
      </c>
      <c r="D52" s="303">
        <v>15597.160099999999</v>
      </c>
      <c r="E52" s="303">
        <v>20841.677800000001</v>
      </c>
      <c r="F52" s="303">
        <v>25561.332249999999</v>
      </c>
      <c r="G52" s="303">
        <v>25179.436809999999</v>
      </c>
      <c r="H52" s="303">
        <v>24857.157400000004</v>
      </c>
      <c r="I52" s="303">
        <v>24209.394909999999</v>
      </c>
      <c r="J52" s="304">
        <v>23748.058849999998</v>
      </c>
      <c r="K52" s="304">
        <v>23385.7585</v>
      </c>
      <c r="L52" s="304">
        <v>22741.991669999999</v>
      </c>
      <c r="M52" s="304">
        <v>22361.4</v>
      </c>
      <c r="N52" s="304">
        <v>21986</v>
      </c>
      <c r="O52" s="304">
        <v>21657</v>
      </c>
      <c r="P52" s="304">
        <v>21455</v>
      </c>
      <c r="Q52" s="304">
        <v>21084</v>
      </c>
      <c r="R52" s="304">
        <v>20685</v>
      </c>
      <c r="S52" s="304">
        <v>20432</v>
      </c>
      <c r="T52" s="304">
        <v>19915</v>
      </c>
      <c r="U52" s="304">
        <v>19319</v>
      </c>
      <c r="V52" s="304">
        <v>18494</v>
      </c>
      <c r="W52" s="304">
        <v>17918</v>
      </c>
      <c r="X52" s="304">
        <v>17433</v>
      </c>
      <c r="Y52" s="304">
        <v>16715</v>
      </c>
      <c r="Z52" s="304">
        <v>16050</v>
      </c>
      <c r="AA52" s="304">
        <v>15689</v>
      </c>
      <c r="AB52" s="304">
        <v>15436</v>
      </c>
      <c r="AC52" s="304">
        <v>14957</v>
      </c>
      <c r="AD52" s="304">
        <v>14342</v>
      </c>
      <c r="AE52" s="304">
        <v>14205</v>
      </c>
      <c r="AF52" s="304">
        <v>14021</v>
      </c>
      <c r="AG52" s="304">
        <v>13714</v>
      </c>
      <c r="AH52" s="304">
        <v>13256</v>
      </c>
      <c r="AI52" s="304">
        <v>12893</v>
      </c>
      <c r="AJ52" s="304">
        <v>12628</v>
      </c>
      <c r="AK52" s="304">
        <v>12349</v>
      </c>
      <c r="AL52" s="304">
        <v>12074</v>
      </c>
      <c r="AM52" s="304">
        <v>12158</v>
      </c>
      <c r="AN52" s="304">
        <v>11971</v>
      </c>
      <c r="AO52" s="304">
        <v>11049</v>
      </c>
      <c r="AP52" s="163"/>
      <c r="AQ52" s="165"/>
    </row>
    <row r="53" spans="1:43" s="294" customFormat="1" ht="15.75" x14ac:dyDescent="0.25">
      <c r="A53" s="47"/>
      <c r="B53" s="301"/>
      <c r="C53" s="301"/>
      <c r="D53" s="301"/>
      <c r="E53" s="301"/>
      <c r="F53" s="301"/>
      <c r="G53" s="301"/>
      <c r="H53" s="301"/>
      <c r="I53" s="301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163"/>
      <c r="AQ53" s="163"/>
    </row>
    <row r="54" spans="1:43" s="345" customFormat="1" ht="15.75" x14ac:dyDescent="0.25">
      <c r="A54" s="143" t="s">
        <v>361</v>
      </c>
      <c r="B54" s="305">
        <f>SUM(B7:B53)</f>
        <v>530427.80163999996</v>
      </c>
      <c r="C54" s="305">
        <f>SUM(C7:C53)</f>
        <v>504396.81639000011</v>
      </c>
      <c r="D54" s="305">
        <f>SUM(D7:D53)</f>
        <v>277319.02495000005</v>
      </c>
      <c r="E54" s="305">
        <f>SUM(E7:E53)</f>
        <v>344689.96538000001</v>
      </c>
      <c r="F54" s="305">
        <f>SUM(F7:F53)</f>
        <v>360629.72643999988</v>
      </c>
      <c r="G54" s="305">
        <f>SUM(G7:G52)</f>
        <v>355984.61443999998</v>
      </c>
      <c r="H54" s="305">
        <v>392332.00789605104</v>
      </c>
      <c r="I54" s="305">
        <v>516901.67751394911</v>
      </c>
      <c r="J54" s="127">
        <f>SUM(J7:J53)</f>
        <v>588910.75656187488</v>
      </c>
      <c r="K54" s="127">
        <f>SUM(K7:K53)</f>
        <v>557049.47317999986</v>
      </c>
      <c r="L54" s="127">
        <f>SUM(L7:L53)</f>
        <v>712552.73632880556</v>
      </c>
      <c r="M54" s="127">
        <f>SUM(M7:M53)</f>
        <v>577269.10000000009</v>
      </c>
      <c r="N54" s="127">
        <v>575182</v>
      </c>
      <c r="O54" s="127">
        <v>562760</v>
      </c>
      <c r="P54" s="127">
        <v>560882</v>
      </c>
      <c r="Q54" s="127">
        <v>531706</v>
      </c>
      <c r="R54" s="127">
        <v>499567</v>
      </c>
      <c r="S54" s="127">
        <v>453927</v>
      </c>
      <c r="T54" s="127">
        <v>471156</v>
      </c>
      <c r="U54" s="127">
        <v>451236</v>
      </c>
      <c r="V54" s="127">
        <v>460797</v>
      </c>
      <c r="W54" s="127">
        <v>611656</v>
      </c>
      <c r="X54" s="127">
        <v>624789</v>
      </c>
      <c r="Y54" s="127">
        <v>611378</v>
      </c>
      <c r="Z54" s="127">
        <v>598834</v>
      </c>
      <c r="AA54" s="127">
        <v>435123</v>
      </c>
      <c r="AB54" s="127">
        <v>446333</v>
      </c>
      <c r="AC54" s="127">
        <v>471284</v>
      </c>
      <c r="AD54" s="127">
        <v>483858</v>
      </c>
      <c r="AE54" s="127">
        <v>484245</v>
      </c>
      <c r="AF54" s="127">
        <v>455817</v>
      </c>
      <c r="AG54" s="127">
        <v>437238</v>
      </c>
      <c r="AH54" s="127">
        <v>372600</v>
      </c>
      <c r="AI54" s="127">
        <v>348751</v>
      </c>
      <c r="AJ54" s="127">
        <v>514203</v>
      </c>
      <c r="AK54" s="127">
        <v>580674</v>
      </c>
      <c r="AL54" s="127">
        <f>SUM(AL6:AL53)</f>
        <v>570265</v>
      </c>
      <c r="AM54" s="127">
        <f>SUM(AM6:AM53)</f>
        <v>551104.60199999996</v>
      </c>
      <c r="AN54" s="127">
        <f>SUM(AN6:AN53)</f>
        <v>379275</v>
      </c>
      <c r="AO54" s="127">
        <f>SUM(AO6:AO53)</f>
        <v>294474.35600000003</v>
      </c>
      <c r="AP54" s="349"/>
      <c r="AQ54" s="143"/>
    </row>
    <row r="55" spans="1:43" s="294" customFormat="1" ht="15.75" x14ac:dyDescent="0.25">
      <c r="A55" s="33"/>
      <c r="B55" s="33"/>
      <c r="C55" s="33"/>
      <c r="D55" s="33"/>
      <c r="E55" s="33"/>
      <c r="F55" s="301"/>
      <c r="G55" s="301"/>
      <c r="H55" s="301"/>
      <c r="I55" s="301"/>
      <c r="J55" s="301"/>
      <c r="K55" s="301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163"/>
      <c r="AQ55" s="163"/>
    </row>
    <row r="56" spans="1:43" s="343" customFormat="1" ht="15.75" x14ac:dyDescent="0.25">
      <c r="A56" s="170" t="s">
        <v>362</v>
      </c>
      <c r="B56" s="305">
        <f>SUM(B57:B59)</f>
        <v>72308.772729999982</v>
      </c>
      <c r="C56" s="305">
        <f>SUM(C57:C59)</f>
        <v>78169.076760000011</v>
      </c>
      <c r="D56" s="305">
        <f>SUM(D57:D59)</f>
        <v>69996.755599999989</v>
      </c>
      <c r="E56" s="305">
        <f>SUM(E57:E60)</f>
        <v>68226.436589999998</v>
      </c>
      <c r="F56" s="305">
        <f>SUM(F57:F60)</f>
        <v>51622.737169999993</v>
      </c>
      <c r="G56" s="305">
        <f>SUM(G58:G59)</f>
        <v>54284.762629999997</v>
      </c>
      <c r="H56" s="305">
        <v>49663.048279999995</v>
      </c>
      <c r="I56" s="305">
        <v>52330.944779999998</v>
      </c>
      <c r="J56" s="127">
        <f>SUM(J57:J60)</f>
        <v>50569.565000000002</v>
      </c>
      <c r="K56" s="127">
        <f>SUM(K57:K60)</f>
        <v>55737.785969999997</v>
      </c>
      <c r="L56" s="127">
        <f>SUM(L57:L60)</f>
        <v>51200.805269999997</v>
      </c>
      <c r="M56" s="127">
        <f>SUM(M57:M60)</f>
        <v>48573.2</v>
      </c>
      <c r="N56" s="127">
        <v>45096.493439999998</v>
      </c>
      <c r="O56" s="127">
        <v>44602.008589999998</v>
      </c>
      <c r="P56" s="127">
        <v>42918.984570000001</v>
      </c>
      <c r="Q56" s="127">
        <v>39797.535380000001</v>
      </c>
      <c r="R56" s="127">
        <v>33028.466850000004</v>
      </c>
      <c r="S56" s="127">
        <v>37523.903159999994</v>
      </c>
      <c r="T56" s="127">
        <v>33843.573609999999</v>
      </c>
      <c r="U56" s="127">
        <v>47341.513540000007</v>
      </c>
      <c r="V56" s="127">
        <v>47108.676790000005</v>
      </c>
      <c r="W56" s="127">
        <v>46669.919979999999</v>
      </c>
      <c r="X56" s="127">
        <v>33450.502840000001</v>
      </c>
      <c r="Y56" s="127">
        <v>32088.437099999999</v>
      </c>
      <c r="Z56" s="127">
        <v>25146</v>
      </c>
      <c r="AA56" s="127">
        <v>9685</v>
      </c>
      <c r="AB56" s="127">
        <v>7497.8</v>
      </c>
      <c r="AC56" s="127">
        <v>3119</v>
      </c>
      <c r="AD56" s="127">
        <v>2008</v>
      </c>
      <c r="AE56" s="127">
        <v>4299</v>
      </c>
      <c r="AF56" s="127">
        <v>3675</v>
      </c>
      <c r="AG56" s="127">
        <v>4030</v>
      </c>
      <c r="AH56" s="127">
        <v>3660</v>
      </c>
      <c r="AI56" s="127">
        <v>4262</v>
      </c>
      <c r="AJ56" s="127">
        <v>3656</v>
      </c>
      <c r="AK56" s="127">
        <v>5148</v>
      </c>
      <c r="AL56" s="127">
        <v>4719</v>
      </c>
      <c r="AM56" s="127">
        <v>6600</v>
      </c>
      <c r="AN56" s="127">
        <v>5075</v>
      </c>
      <c r="AO56" s="127">
        <v>5840</v>
      </c>
      <c r="AP56" s="329"/>
      <c r="AQ56" s="170"/>
    </row>
    <row r="57" spans="1:43" s="294" customFormat="1" ht="15.75" x14ac:dyDescent="0.25">
      <c r="A57" s="123"/>
      <c r="B57" s="123"/>
      <c r="C57" s="123"/>
      <c r="D57" s="123"/>
      <c r="E57" s="123"/>
      <c r="F57" s="303"/>
      <c r="G57" s="303"/>
      <c r="H57" s="303"/>
      <c r="I57" s="303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163"/>
      <c r="AQ57" s="162"/>
    </row>
    <row r="58" spans="1:43" s="294" customFormat="1" ht="15.75" x14ac:dyDescent="0.25">
      <c r="A58" s="45" t="s">
        <v>428</v>
      </c>
      <c r="B58" s="301">
        <v>1302.7408300000002</v>
      </c>
      <c r="C58" s="301">
        <f>'[3]BANCO DE DADOS'!$B$699</f>
        <v>3189.5060199999998</v>
      </c>
      <c r="D58" s="301">
        <v>1463.23784</v>
      </c>
      <c r="E58" s="301">
        <v>3116.5140799999999</v>
      </c>
      <c r="F58" s="301">
        <v>1152.4535900000001</v>
      </c>
      <c r="G58" s="301">
        <v>2489.3686699999998</v>
      </c>
      <c r="H58" s="301">
        <v>1091.3189600000001</v>
      </c>
      <c r="I58" s="301">
        <v>2292.85205</v>
      </c>
      <c r="J58" s="302">
        <v>1087.40299</v>
      </c>
      <c r="K58" s="302">
        <v>2369.0121600000002</v>
      </c>
      <c r="L58" s="302">
        <v>995.57706999999994</v>
      </c>
      <c r="M58" s="302">
        <v>1779.7</v>
      </c>
      <c r="N58" s="302">
        <v>846.41994</v>
      </c>
      <c r="O58" s="302">
        <v>1680.6574499999999</v>
      </c>
      <c r="P58" s="302">
        <v>833.00522000000001</v>
      </c>
      <c r="Q58" s="302">
        <v>837.74881999999991</v>
      </c>
      <c r="R58" s="302">
        <v>794.73565000000008</v>
      </c>
      <c r="S58" s="302">
        <v>1594.1544799999999</v>
      </c>
      <c r="T58" s="302">
        <v>756.24361999999996</v>
      </c>
      <c r="U58" s="302">
        <v>1741.1551200000001</v>
      </c>
      <c r="V58" s="302">
        <v>905.25725</v>
      </c>
      <c r="W58" s="302">
        <v>1921.14319</v>
      </c>
      <c r="X58" s="302">
        <v>710.42171999999994</v>
      </c>
      <c r="Y58" s="302">
        <v>1555.8945200000001</v>
      </c>
      <c r="Z58" s="302">
        <v>611</v>
      </c>
      <c r="AA58" s="302">
        <v>1184</v>
      </c>
      <c r="AB58" s="302">
        <v>505.14</v>
      </c>
      <c r="AC58" s="302">
        <v>2593</v>
      </c>
      <c r="AD58" s="302">
        <v>2004</v>
      </c>
      <c r="AE58" s="302">
        <v>4027</v>
      </c>
      <c r="AF58" s="302">
        <v>3653</v>
      </c>
      <c r="AG58" s="302">
        <v>3930</v>
      </c>
      <c r="AH58" s="302">
        <v>3656</v>
      </c>
      <c r="AI58" s="302">
        <v>4256</v>
      </c>
      <c r="AJ58" s="302">
        <v>3656</v>
      </c>
      <c r="AK58" s="302">
        <v>5148</v>
      </c>
      <c r="AL58" s="302">
        <v>4719</v>
      </c>
      <c r="AM58" s="302">
        <v>6600</v>
      </c>
      <c r="AN58" s="302">
        <v>5075</v>
      </c>
      <c r="AO58" s="302">
        <v>5840</v>
      </c>
      <c r="AP58" s="163"/>
      <c r="AQ58" s="163"/>
    </row>
    <row r="59" spans="1:43" s="294" customFormat="1" ht="15.75" x14ac:dyDescent="0.25">
      <c r="A59" s="17" t="s">
        <v>41</v>
      </c>
      <c r="B59" s="303">
        <v>71006.031899999987</v>
      </c>
      <c r="C59" s="303">
        <f>'[3]BANCO DE DADOS'!$B$700</f>
        <v>74979.57074000001</v>
      </c>
      <c r="D59" s="303">
        <v>68533.517759999988</v>
      </c>
      <c r="E59" s="303">
        <v>65109.922509999997</v>
      </c>
      <c r="F59" s="303">
        <v>50470.283579999996</v>
      </c>
      <c r="G59" s="303">
        <v>51795.393960000001</v>
      </c>
      <c r="H59" s="303">
        <v>48571.729319999999</v>
      </c>
      <c r="I59" s="303">
        <v>50038.092729999997</v>
      </c>
      <c r="J59" s="304">
        <v>49482.16201</v>
      </c>
      <c r="K59" s="304">
        <v>53368.773809999999</v>
      </c>
      <c r="L59" s="304">
        <v>50205.228199999998</v>
      </c>
      <c r="M59" s="304">
        <v>46793.5</v>
      </c>
      <c r="N59" s="304">
        <v>44250.073499999999</v>
      </c>
      <c r="O59" s="304">
        <v>42921.351139999999</v>
      </c>
      <c r="P59" s="304">
        <v>42085.979350000001</v>
      </c>
      <c r="Q59" s="304">
        <v>38959.78656</v>
      </c>
      <c r="R59" s="304">
        <v>32233.731200000002</v>
      </c>
      <c r="S59" s="304">
        <v>35929.748679999997</v>
      </c>
      <c r="T59" s="304">
        <v>33087.329989999998</v>
      </c>
      <c r="U59" s="304">
        <v>45600.358420000004</v>
      </c>
      <c r="V59" s="304">
        <v>46203.419540000003</v>
      </c>
      <c r="W59" s="304">
        <v>44748.776789999996</v>
      </c>
      <c r="X59" s="304">
        <v>32740.081120000003</v>
      </c>
      <c r="Y59" s="304">
        <v>30532.542579999998</v>
      </c>
      <c r="Z59" s="304">
        <v>24535</v>
      </c>
      <c r="AA59" s="304">
        <v>8501</v>
      </c>
      <c r="AB59" s="304">
        <v>6992.66</v>
      </c>
      <c r="AC59" s="304">
        <v>526</v>
      </c>
      <c r="AD59" s="304">
        <v>4</v>
      </c>
      <c r="AE59" s="304">
        <v>272</v>
      </c>
      <c r="AF59" s="304">
        <v>22</v>
      </c>
      <c r="AG59" s="304">
        <v>100</v>
      </c>
      <c r="AH59" s="304">
        <v>4</v>
      </c>
      <c r="AI59" s="304">
        <v>6</v>
      </c>
      <c r="AJ59" s="304">
        <v>0</v>
      </c>
      <c r="AK59" s="304">
        <v>0</v>
      </c>
      <c r="AL59" s="304">
        <v>0</v>
      </c>
      <c r="AM59" s="304">
        <v>0</v>
      </c>
      <c r="AN59" s="304">
        <v>0</v>
      </c>
      <c r="AO59" s="304">
        <v>0</v>
      </c>
      <c r="AP59" s="163"/>
      <c r="AQ59" s="165"/>
    </row>
    <row r="60" spans="1:43" s="294" customFormat="1" ht="15.75" x14ac:dyDescent="0.25">
      <c r="A60" s="17"/>
      <c r="B60" s="17"/>
      <c r="C60" s="17"/>
      <c r="D60" s="17"/>
      <c r="E60" s="17"/>
      <c r="F60" s="303"/>
      <c r="G60" s="303"/>
      <c r="H60" s="303"/>
      <c r="I60" s="303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163"/>
      <c r="AQ60" s="165"/>
    </row>
    <row r="61" spans="1:43" s="346" customFormat="1" ht="18" customHeight="1" x14ac:dyDescent="0.25">
      <c r="A61" s="213" t="s">
        <v>301</v>
      </c>
      <c r="B61" s="306">
        <f t="shared" ref="B61:G61" si="0">B54+B56</f>
        <v>602736.57436999993</v>
      </c>
      <c r="C61" s="306">
        <f t="shared" si="0"/>
        <v>582565.89315000013</v>
      </c>
      <c r="D61" s="306">
        <f t="shared" si="0"/>
        <v>347315.78055000002</v>
      </c>
      <c r="E61" s="306">
        <f t="shared" si="0"/>
        <v>412916.40197000001</v>
      </c>
      <c r="F61" s="306">
        <f t="shared" si="0"/>
        <v>412252.46360999986</v>
      </c>
      <c r="G61" s="306">
        <f t="shared" si="0"/>
        <v>410269.37706999999</v>
      </c>
      <c r="H61" s="306">
        <v>441995.05617605103</v>
      </c>
      <c r="I61" s="306">
        <v>569232.62229394913</v>
      </c>
      <c r="J61" s="306">
        <f>J54+J56</f>
        <v>639480.32156187482</v>
      </c>
      <c r="K61" s="306">
        <f>K54+K56</f>
        <v>612787.25914999982</v>
      </c>
      <c r="L61" s="306">
        <f>L54+L56</f>
        <v>763753.54159880558</v>
      </c>
      <c r="M61" s="306">
        <f>M54+M56</f>
        <v>625842.30000000005</v>
      </c>
      <c r="N61" s="306">
        <v>620278.49343999999</v>
      </c>
      <c r="O61" s="306">
        <v>607362.00858999998</v>
      </c>
      <c r="P61" s="306">
        <v>603800.98456999997</v>
      </c>
      <c r="Q61" s="306">
        <v>571503.53538000002</v>
      </c>
      <c r="R61" s="306">
        <v>532595.46684999997</v>
      </c>
      <c r="S61" s="306">
        <v>491450.90315999999</v>
      </c>
      <c r="T61" s="306">
        <v>504999.57361000002</v>
      </c>
      <c r="U61" s="306">
        <v>498577.51354000001</v>
      </c>
      <c r="V61" s="306">
        <v>507905.67679</v>
      </c>
      <c r="W61" s="306">
        <v>658325.91998000001</v>
      </c>
      <c r="X61" s="306">
        <v>658239.50283999997</v>
      </c>
      <c r="Y61" s="306">
        <v>643466.43709999998</v>
      </c>
      <c r="Z61" s="306">
        <v>623980</v>
      </c>
      <c r="AA61" s="306">
        <v>444808</v>
      </c>
      <c r="AB61" s="306">
        <v>453830.8</v>
      </c>
      <c r="AC61" s="306">
        <v>474403</v>
      </c>
      <c r="AD61" s="306">
        <v>485866</v>
      </c>
      <c r="AE61" s="306">
        <v>488544</v>
      </c>
      <c r="AF61" s="306">
        <v>459492</v>
      </c>
      <c r="AG61" s="306">
        <v>441268</v>
      </c>
      <c r="AH61" s="306">
        <v>376260</v>
      </c>
      <c r="AI61" s="306">
        <v>353013</v>
      </c>
      <c r="AJ61" s="306">
        <v>517859</v>
      </c>
      <c r="AK61" s="306">
        <v>585822</v>
      </c>
      <c r="AL61" s="306">
        <f>AL56+AL54</f>
        <v>574984</v>
      </c>
      <c r="AM61" s="306">
        <f>AM56+AM54</f>
        <v>557704.60199999996</v>
      </c>
      <c r="AN61" s="306">
        <f>AN56+AN54</f>
        <v>384350</v>
      </c>
      <c r="AO61" s="306">
        <f>AO56+AO54</f>
        <v>300314.35600000003</v>
      </c>
      <c r="AP61" s="350"/>
      <c r="AQ61" s="252"/>
    </row>
    <row r="62" spans="1:43" s="294" customFormat="1" ht="15.75" x14ac:dyDescent="0.25">
      <c r="A62" s="128"/>
      <c r="B62" s="128"/>
      <c r="C62" s="128"/>
      <c r="D62" s="128"/>
      <c r="E62" s="128"/>
      <c r="F62" s="303"/>
      <c r="G62" s="303"/>
      <c r="H62" s="303"/>
      <c r="I62" s="303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163"/>
      <c r="AQ62" s="165"/>
    </row>
    <row r="63" spans="1:43" s="343" customFormat="1" ht="15.75" x14ac:dyDescent="0.25">
      <c r="A63" s="143" t="s">
        <v>363</v>
      </c>
      <c r="B63" s="143"/>
      <c r="C63" s="143"/>
      <c r="D63" s="143"/>
      <c r="E63" s="143"/>
      <c r="F63" s="305"/>
      <c r="G63" s="305"/>
      <c r="H63" s="305"/>
      <c r="I63" s="305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329"/>
      <c r="AQ63" s="170"/>
    </row>
    <row r="64" spans="1:43" s="345" customFormat="1" ht="15.75" x14ac:dyDescent="0.25">
      <c r="A64" s="213" t="s">
        <v>364</v>
      </c>
      <c r="B64" s="213"/>
      <c r="C64" s="213"/>
      <c r="D64" s="213"/>
      <c r="E64" s="213"/>
      <c r="F64" s="305"/>
      <c r="G64" s="305"/>
      <c r="H64" s="305"/>
      <c r="I64" s="305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349"/>
      <c r="AQ64" s="143"/>
    </row>
    <row r="65" spans="1:43" s="294" customFormat="1" ht="15.75" x14ac:dyDescent="0.25">
      <c r="A65" s="128"/>
      <c r="B65" s="128"/>
      <c r="C65" s="128"/>
      <c r="D65" s="128"/>
      <c r="E65" s="128"/>
      <c r="F65" s="303"/>
      <c r="G65" s="303"/>
      <c r="H65" s="303"/>
      <c r="I65" s="303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163"/>
      <c r="AQ65" s="162"/>
    </row>
    <row r="66" spans="1:43" s="294" customFormat="1" ht="15.75" x14ac:dyDescent="0.25">
      <c r="A66" s="3" t="s">
        <v>329</v>
      </c>
      <c r="B66" s="301">
        <v>636575.27405999997</v>
      </c>
      <c r="C66" s="301">
        <f>'[3]BANCO DE DADOS'!$B$708</f>
        <v>637701.63305999991</v>
      </c>
      <c r="D66" s="301">
        <v>632974.16112000006</v>
      </c>
      <c r="E66" s="301">
        <v>633992.65477999998</v>
      </c>
      <c r="F66" s="301">
        <v>635486.46897000005</v>
      </c>
      <c r="G66" s="301">
        <v>632061.70495000004</v>
      </c>
      <c r="H66" s="301">
        <v>628749.55105999997</v>
      </c>
      <c r="I66" s="301">
        <v>622278.98920000007</v>
      </c>
      <c r="J66" s="302">
        <v>620868.36072</v>
      </c>
      <c r="K66" s="302">
        <v>607828.27982000005</v>
      </c>
      <c r="L66" s="302">
        <v>607701.35173000011</v>
      </c>
      <c r="M66" s="302">
        <v>598516.1</v>
      </c>
      <c r="N66" s="302">
        <v>588820</v>
      </c>
      <c r="O66" s="302">
        <v>569482</v>
      </c>
      <c r="P66" s="302">
        <v>554133</v>
      </c>
      <c r="Q66" s="302">
        <v>531301</v>
      </c>
      <c r="R66" s="302">
        <v>515792</v>
      </c>
      <c r="S66" s="302">
        <v>492980</v>
      </c>
      <c r="T66" s="302">
        <v>470166</v>
      </c>
      <c r="U66" s="302">
        <v>445936</v>
      </c>
      <c r="V66" s="302">
        <v>429914</v>
      </c>
      <c r="W66" s="302">
        <v>415923</v>
      </c>
      <c r="X66" s="302">
        <v>403100</v>
      </c>
      <c r="Y66" s="302">
        <v>409812</v>
      </c>
      <c r="Z66" s="302">
        <v>414603</v>
      </c>
      <c r="AA66" s="302">
        <v>407506</v>
      </c>
      <c r="AB66" s="302">
        <v>406004</v>
      </c>
      <c r="AC66" s="302">
        <v>498731</v>
      </c>
      <c r="AD66" s="302">
        <v>508499</v>
      </c>
      <c r="AE66" s="302">
        <v>500335</v>
      </c>
      <c r="AF66" s="302">
        <v>504746</v>
      </c>
      <c r="AG66" s="302">
        <v>522760</v>
      </c>
      <c r="AH66" s="302">
        <v>540874</v>
      </c>
      <c r="AI66" s="302">
        <v>556360</v>
      </c>
      <c r="AJ66" s="302">
        <v>572139</v>
      </c>
      <c r="AK66" s="302">
        <v>588704</v>
      </c>
      <c r="AL66" s="302">
        <v>607042</v>
      </c>
      <c r="AM66" s="302">
        <v>626236</v>
      </c>
      <c r="AN66" s="302">
        <v>638946</v>
      </c>
      <c r="AO66" s="302">
        <v>645207</v>
      </c>
      <c r="AP66" s="163"/>
      <c r="AQ66" s="163"/>
    </row>
    <row r="67" spans="1:43" s="294" customFormat="1" ht="15.75" x14ac:dyDescent="0.25">
      <c r="A67" s="19" t="s">
        <v>330</v>
      </c>
      <c r="B67" s="303">
        <v>19959.428059999998</v>
      </c>
      <c r="C67" s="303">
        <f>'[3]BANCO DE DADOS'!$B$709</f>
        <v>23136.25547</v>
      </c>
      <c r="D67" s="303">
        <v>26527.27592</v>
      </c>
      <c r="E67" s="303">
        <v>30090.016960000001</v>
      </c>
      <c r="F67" s="303">
        <v>33674.608</v>
      </c>
      <c r="G67" s="303">
        <v>37733.230040000002</v>
      </c>
      <c r="H67" s="303">
        <v>41828.106079999998</v>
      </c>
      <c r="I67" s="303">
        <v>45922.982120000001</v>
      </c>
      <c r="J67" s="304">
        <v>50017.858159999996</v>
      </c>
      <c r="K67" s="304">
        <v>54112.933960000002</v>
      </c>
      <c r="L67" s="304">
        <v>58207.755520000006</v>
      </c>
      <c r="M67" s="304">
        <v>62302.6</v>
      </c>
      <c r="N67" s="304">
        <v>66471</v>
      </c>
      <c r="O67" s="304">
        <v>71010</v>
      </c>
      <c r="P67" s="304">
        <v>75998</v>
      </c>
      <c r="Q67" s="304">
        <v>80986</v>
      </c>
      <c r="R67" s="304">
        <v>85975</v>
      </c>
      <c r="S67" s="304">
        <v>90963</v>
      </c>
      <c r="T67" s="304">
        <v>95951</v>
      </c>
      <c r="U67" s="304">
        <v>100940</v>
      </c>
      <c r="V67" s="304">
        <v>105604</v>
      </c>
      <c r="W67" s="304">
        <v>109617</v>
      </c>
      <c r="X67" s="304">
        <v>113854</v>
      </c>
      <c r="Y67" s="304">
        <v>118091</v>
      </c>
      <c r="Z67" s="304">
        <v>96515</v>
      </c>
      <c r="AA67" s="304">
        <v>89670</v>
      </c>
      <c r="AB67" s="304">
        <v>92634</v>
      </c>
      <c r="AC67" s="304">
        <v>84053</v>
      </c>
      <c r="AD67" s="304">
        <v>72042</v>
      </c>
      <c r="AE67" s="304">
        <v>59287</v>
      </c>
      <c r="AF67" s="304">
        <v>50938</v>
      </c>
      <c r="AG67" s="304">
        <v>20492</v>
      </c>
      <c r="AH67" s="304">
        <v>13278</v>
      </c>
      <c r="AI67" s="304">
        <v>0</v>
      </c>
      <c r="AJ67" s="304">
        <v>0</v>
      </c>
      <c r="AK67" s="304">
        <v>0</v>
      </c>
      <c r="AL67" s="304">
        <v>0</v>
      </c>
      <c r="AM67" s="304">
        <v>0</v>
      </c>
      <c r="AN67" s="304">
        <v>0</v>
      </c>
      <c r="AO67" s="304">
        <v>0</v>
      </c>
      <c r="AP67" s="163"/>
      <c r="AQ67" s="165"/>
    </row>
    <row r="68" spans="1:43" s="294" customFormat="1" ht="15.75" x14ac:dyDescent="0.25">
      <c r="A68" s="3" t="s">
        <v>306</v>
      </c>
      <c r="B68" s="301">
        <v>0</v>
      </c>
      <c r="C68" s="301">
        <v>0</v>
      </c>
      <c r="D68" s="301">
        <v>0</v>
      </c>
      <c r="E68" s="301">
        <v>0</v>
      </c>
      <c r="F68" s="301">
        <v>0</v>
      </c>
      <c r="G68" s="301">
        <v>0</v>
      </c>
      <c r="H68" s="301">
        <v>0</v>
      </c>
      <c r="I68" s="301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2">
        <v>0</v>
      </c>
      <c r="P68" s="302">
        <v>0</v>
      </c>
      <c r="Q68" s="302">
        <v>0</v>
      </c>
      <c r="R68" s="302">
        <v>0</v>
      </c>
      <c r="S68" s="302">
        <v>0</v>
      </c>
      <c r="T68" s="302">
        <v>0</v>
      </c>
      <c r="U68" s="302">
        <v>0</v>
      </c>
      <c r="V68" s="302">
        <v>0</v>
      </c>
      <c r="W68" s="302">
        <v>0</v>
      </c>
      <c r="X68" s="302">
        <v>0</v>
      </c>
      <c r="Y68" s="302">
        <v>0</v>
      </c>
      <c r="Z68" s="302">
        <v>0</v>
      </c>
      <c r="AA68" s="302">
        <v>0</v>
      </c>
      <c r="AB68" s="302">
        <v>0</v>
      </c>
      <c r="AC68" s="302">
        <v>0</v>
      </c>
      <c r="AD68" s="302">
        <v>1032</v>
      </c>
      <c r="AE68" s="302">
        <v>1482</v>
      </c>
      <c r="AF68" s="302">
        <v>2593</v>
      </c>
      <c r="AG68" s="302">
        <v>2917</v>
      </c>
      <c r="AH68" s="302">
        <v>3726</v>
      </c>
      <c r="AI68" s="302">
        <v>6024</v>
      </c>
      <c r="AJ68" s="302">
        <v>6876</v>
      </c>
      <c r="AK68" s="302">
        <v>7026</v>
      </c>
      <c r="AL68" s="302">
        <v>7756</v>
      </c>
      <c r="AM68" s="302">
        <v>9836</v>
      </c>
      <c r="AN68" s="302">
        <v>10759</v>
      </c>
      <c r="AO68" s="302">
        <v>10996</v>
      </c>
      <c r="AP68" s="163"/>
      <c r="AQ68" s="163"/>
    </row>
    <row r="69" spans="1:43" s="294" customFormat="1" ht="15.75" x14ac:dyDescent="0.25">
      <c r="A69" s="19" t="s">
        <v>307</v>
      </c>
      <c r="B69" s="303">
        <v>0</v>
      </c>
      <c r="C69" s="303">
        <v>0</v>
      </c>
      <c r="D69" s="303">
        <v>0</v>
      </c>
      <c r="E69" s="303">
        <v>0</v>
      </c>
      <c r="F69" s="303">
        <v>0</v>
      </c>
      <c r="G69" s="303">
        <v>0</v>
      </c>
      <c r="H69" s="303">
        <v>0</v>
      </c>
      <c r="I69" s="303">
        <v>0</v>
      </c>
      <c r="J69" s="304">
        <v>0</v>
      </c>
      <c r="K69" s="304">
        <v>0</v>
      </c>
      <c r="L69" s="304">
        <v>0</v>
      </c>
      <c r="M69" s="304">
        <v>0</v>
      </c>
      <c r="N69" s="304">
        <v>0</v>
      </c>
      <c r="O69" s="304">
        <v>0</v>
      </c>
      <c r="P69" s="304">
        <v>0</v>
      </c>
      <c r="Q69" s="304">
        <v>0</v>
      </c>
      <c r="R69" s="304">
        <v>0</v>
      </c>
      <c r="S69" s="304">
        <v>0</v>
      </c>
      <c r="T69" s="304">
        <v>0</v>
      </c>
      <c r="U69" s="304">
        <v>0</v>
      </c>
      <c r="V69" s="304">
        <v>0</v>
      </c>
      <c r="W69" s="304">
        <v>0</v>
      </c>
      <c r="X69" s="304">
        <v>0</v>
      </c>
      <c r="Y69" s="304">
        <v>0</v>
      </c>
      <c r="Z69" s="304">
        <v>0</v>
      </c>
      <c r="AA69" s="304">
        <v>0</v>
      </c>
      <c r="AB69" s="304">
        <v>0</v>
      </c>
      <c r="AC69" s="304">
        <v>0</v>
      </c>
      <c r="AD69" s="304">
        <v>0</v>
      </c>
      <c r="AE69" s="304">
        <v>0</v>
      </c>
      <c r="AF69" s="304">
        <v>0</v>
      </c>
      <c r="AG69" s="304">
        <v>0</v>
      </c>
      <c r="AH69" s="304">
        <v>3311</v>
      </c>
      <c r="AI69" s="304">
        <v>13156</v>
      </c>
      <c r="AJ69" s="304">
        <v>22867</v>
      </c>
      <c r="AK69" s="304">
        <v>32432</v>
      </c>
      <c r="AL69" s="304">
        <v>41806</v>
      </c>
      <c r="AM69" s="304">
        <v>51005</v>
      </c>
      <c r="AN69" s="304">
        <v>59917</v>
      </c>
      <c r="AO69" s="304">
        <v>68720</v>
      </c>
      <c r="AP69" s="163"/>
      <c r="AQ69" s="165"/>
    </row>
    <row r="70" spans="1:43" s="294" customFormat="1" ht="15.75" x14ac:dyDescent="0.25">
      <c r="A70" s="3" t="s">
        <v>308</v>
      </c>
      <c r="B70" s="301">
        <v>0</v>
      </c>
      <c r="C70" s="301">
        <v>0</v>
      </c>
      <c r="D70" s="301">
        <v>0</v>
      </c>
      <c r="E70" s="301">
        <v>0</v>
      </c>
      <c r="F70" s="301">
        <v>0</v>
      </c>
      <c r="G70" s="301">
        <v>0</v>
      </c>
      <c r="H70" s="301">
        <v>0</v>
      </c>
      <c r="I70" s="301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2">
        <v>0</v>
      </c>
      <c r="P70" s="302">
        <v>0</v>
      </c>
      <c r="Q70" s="302">
        <v>0</v>
      </c>
      <c r="R70" s="302">
        <v>0</v>
      </c>
      <c r="S70" s="302">
        <v>0</v>
      </c>
      <c r="T70" s="302">
        <v>0</v>
      </c>
      <c r="U70" s="302">
        <v>0</v>
      </c>
      <c r="V70" s="302">
        <v>0</v>
      </c>
      <c r="W70" s="302">
        <v>0</v>
      </c>
      <c r="X70" s="302">
        <v>0</v>
      </c>
      <c r="Y70" s="302">
        <v>0</v>
      </c>
      <c r="Z70" s="302">
        <v>0</v>
      </c>
      <c r="AA70" s="302">
        <v>0</v>
      </c>
      <c r="AB70" s="302">
        <v>0</v>
      </c>
      <c r="AC70" s="302">
        <v>0</v>
      </c>
      <c r="AD70" s="302">
        <v>0</v>
      </c>
      <c r="AE70" s="302">
        <v>0</v>
      </c>
      <c r="AF70" s="302">
        <v>0</v>
      </c>
      <c r="AG70" s="302">
        <v>0</v>
      </c>
      <c r="AH70" s="302">
        <v>0</v>
      </c>
      <c r="AI70" s="302">
        <v>0</v>
      </c>
      <c r="AJ70" s="302">
        <v>0</v>
      </c>
      <c r="AK70" s="302">
        <v>0</v>
      </c>
      <c r="AL70" s="302">
        <v>0</v>
      </c>
      <c r="AM70" s="302">
        <v>0</v>
      </c>
      <c r="AN70" s="302">
        <v>0</v>
      </c>
      <c r="AO70" s="302">
        <v>0</v>
      </c>
      <c r="AP70" s="163"/>
      <c r="AQ70" s="163"/>
    </row>
    <row r="71" spans="1:43" s="294" customFormat="1" ht="15.75" x14ac:dyDescent="0.25">
      <c r="A71" s="19" t="s">
        <v>309</v>
      </c>
      <c r="B71" s="303">
        <v>146611.79453000001</v>
      </c>
      <c r="C71" s="303">
        <f>'[3]BANCO DE DADOS'!$B$713</f>
        <v>166843.712</v>
      </c>
      <c r="D71" s="303">
        <v>184117.25834</v>
      </c>
      <c r="E71" s="303">
        <v>172944.39374</v>
      </c>
      <c r="F71" s="303">
        <v>189708.99728000001</v>
      </c>
      <c r="G71" s="303">
        <v>206473.60086000001</v>
      </c>
      <c r="H71" s="303">
        <v>223236.02828999999</v>
      </c>
      <c r="I71" s="303">
        <v>241167.68928999998</v>
      </c>
      <c r="J71" s="304">
        <v>259388.60887999999</v>
      </c>
      <c r="K71" s="304">
        <v>278021.28723000002</v>
      </c>
      <c r="L71" s="304">
        <v>274425.77779000002</v>
      </c>
      <c r="M71" s="304">
        <v>291850.59999999998</v>
      </c>
      <c r="N71" s="304">
        <v>309118</v>
      </c>
      <c r="O71" s="304">
        <v>326120</v>
      </c>
      <c r="P71" s="304">
        <v>343036</v>
      </c>
      <c r="Q71" s="304">
        <v>359870</v>
      </c>
      <c r="R71" s="304">
        <v>376202</v>
      </c>
      <c r="S71" s="304">
        <v>392393</v>
      </c>
      <c r="T71" s="304">
        <v>408458</v>
      </c>
      <c r="U71" s="304">
        <v>424413</v>
      </c>
      <c r="V71" s="304">
        <v>440262</v>
      </c>
      <c r="W71" s="304">
        <v>451542</v>
      </c>
      <c r="X71" s="304">
        <v>468142</v>
      </c>
      <c r="Y71" s="304">
        <v>482528</v>
      </c>
      <c r="Z71" s="304">
        <v>490745</v>
      </c>
      <c r="AA71" s="304">
        <v>478240</v>
      </c>
      <c r="AB71" s="304">
        <v>470575</v>
      </c>
      <c r="AC71" s="304">
        <v>470852</v>
      </c>
      <c r="AD71" s="304">
        <v>485572</v>
      </c>
      <c r="AE71" s="304">
        <v>500293</v>
      </c>
      <c r="AF71" s="304">
        <v>515014</v>
      </c>
      <c r="AG71" s="304">
        <v>518556</v>
      </c>
      <c r="AH71" s="304">
        <v>532976</v>
      </c>
      <c r="AI71" s="304">
        <v>533605</v>
      </c>
      <c r="AJ71" s="304">
        <v>535748</v>
      </c>
      <c r="AK71" s="304">
        <v>535608</v>
      </c>
      <c r="AL71" s="304">
        <v>533973</v>
      </c>
      <c r="AM71" s="304">
        <v>495693</v>
      </c>
      <c r="AN71" s="304">
        <v>493082</v>
      </c>
      <c r="AO71" s="304">
        <v>402213</v>
      </c>
      <c r="AP71" s="163"/>
      <c r="AQ71" s="165"/>
    </row>
    <row r="72" spans="1:43" s="294" customFormat="1" ht="15.75" x14ac:dyDescent="0.25">
      <c r="A72" s="3" t="s">
        <v>310</v>
      </c>
      <c r="B72" s="301">
        <v>0</v>
      </c>
      <c r="C72" s="301">
        <v>0</v>
      </c>
      <c r="D72" s="301">
        <v>0</v>
      </c>
      <c r="E72" s="301">
        <v>0</v>
      </c>
      <c r="F72" s="301">
        <v>0</v>
      </c>
      <c r="G72" s="301">
        <v>0</v>
      </c>
      <c r="H72" s="301">
        <v>0</v>
      </c>
      <c r="I72" s="301">
        <v>0</v>
      </c>
      <c r="J72" s="302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2">
        <v>0</v>
      </c>
      <c r="Q72" s="302">
        <v>0</v>
      </c>
      <c r="R72" s="302">
        <v>0</v>
      </c>
      <c r="S72" s="302">
        <v>0</v>
      </c>
      <c r="T72" s="302">
        <v>0</v>
      </c>
      <c r="U72" s="302">
        <v>0</v>
      </c>
      <c r="V72" s="302">
        <v>0</v>
      </c>
      <c r="W72" s="302">
        <v>0</v>
      </c>
      <c r="X72" s="302">
        <v>0</v>
      </c>
      <c r="Y72" s="302">
        <v>0</v>
      </c>
      <c r="Z72" s="302">
        <v>0</v>
      </c>
      <c r="AA72" s="302">
        <v>0</v>
      </c>
      <c r="AB72" s="302">
        <v>0</v>
      </c>
      <c r="AC72" s="302">
        <v>0</v>
      </c>
      <c r="AD72" s="302">
        <v>0</v>
      </c>
      <c r="AE72" s="302">
        <v>0</v>
      </c>
      <c r="AF72" s="302">
        <v>3867</v>
      </c>
      <c r="AG72" s="302">
        <v>15467</v>
      </c>
      <c r="AH72" s="302">
        <v>27067</v>
      </c>
      <c r="AI72" s="302">
        <v>38667</v>
      </c>
      <c r="AJ72" s="302">
        <v>50267</v>
      </c>
      <c r="AK72" s="302">
        <v>61867</v>
      </c>
      <c r="AL72" s="302">
        <v>73467</v>
      </c>
      <c r="AM72" s="302">
        <v>85068</v>
      </c>
      <c r="AN72" s="302">
        <v>96668</v>
      </c>
      <c r="AO72" s="302">
        <v>108268</v>
      </c>
      <c r="AP72" s="163"/>
      <c r="AQ72" s="163"/>
    </row>
    <row r="73" spans="1:43" s="294" customFormat="1" ht="15.75" x14ac:dyDescent="0.25">
      <c r="A73" s="19" t="s">
        <v>311</v>
      </c>
      <c r="B73" s="303">
        <v>0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>
        <v>0</v>
      </c>
      <c r="J73" s="304">
        <v>0</v>
      </c>
      <c r="K73" s="304">
        <v>0</v>
      </c>
      <c r="L73" s="304">
        <v>0</v>
      </c>
      <c r="M73" s="304">
        <v>0</v>
      </c>
      <c r="N73" s="304">
        <v>0</v>
      </c>
      <c r="O73" s="304">
        <v>0</v>
      </c>
      <c r="P73" s="304">
        <v>0</v>
      </c>
      <c r="Q73" s="304">
        <v>0</v>
      </c>
      <c r="R73" s="304">
        <v>0</v>
      </c>
      <c r="S73" s="304">
        <v>0</v>
      </c>
      <c r="T73" s="304">
        <v>0</v>
      </c>
      <c r="U73" s="304">
        <v>0</v>
      </c>
      <c r="V73" s="304">
        <v>0</v>
      </c>
      <c r="W73" s="304">
        <v>0</v>
      </c>
      <c r="X73" s="304">
        <v>0</v>
      </c>
      <c r="Y73" s="304">
        <v>0</v>
      </c>
      <c r="Z73" s="304">
        <v>0</v>
      </c>
      <c r="AA73" s="304">
        <v>0</v>
      </c>
      <c r="AB73" s="304">
        <v>0</v>
      </c>
      <c r="AC73" s="304">
        <v>0</v>
      </c>
      <c r="AD73" s="304">
        <v>0</v>
      </c>
      <c r="AE73" s="304">
        <v>0</v>
      </c>
      <c r="AF73" s="304">
        <v>0</v>
      </c>
      <c r="AG73" s="304">
        <v>0</v>
      </c>
      <c r="AH73" s="304">
        <v>0</v>
      </c>
      <c r="AI73" s="304">
        <v>0</v>
      </c>
      <c r="AJ73" s="304">
        <v>0</v>
      </c>
      <c r="AK73" s="304">
        <v>68751</v>
      </c>
      <c r="AL73" s="304">
        <v>65293</v>
      </c>
      <c r="AM73" s="304">
        <v>68771</v>
      </c>
      <c r="AN73" s="304">
        <v>66771</v>
      </c>
      <c r="AO73" s="304">
        <v>133914.75599999999</v>
      </c>
      <c r="AP73" s="163"/>
      <c r="AQ73" s="165"/>
    </row>
    <row r="74" spans="1:43" s="294" customFormat="1" ht="15.75" x14ac:dyDescent="0.25">
      <c r="A74" s="3" t="s">
        <v>331</v>
      </c>
      <c r="B74" s="301">
        <v>0</v>
      </c>
      <c r="C74" s="301">
        <v>0</v>
      </c>
      <c r="D74" s="301">
        <v>0</v>
      </c>
      <c r="E74" s="301">
        <v>0</v>
      </c>
      <c r="F74" s="301">
        <v>0</v>
      </c>
      <c r="G74" s="301">
        <v>0</v>
      </c>
      <c r="H74" s="301">
        <v>0</v>
      </c>
      <c r="I74" s="301">
        <v>0</v>
      </c>
      <c r="J74" s="302">
        <v>0</v>
      </c>
      <c r="K74" s="302">
        <v>13755.409952342217</v>
      </c>
      <c r="L74" s="302">
        <v>28371.91170446726</v>
      </c>
      <c r="M74" s="302">
        <v>40549.4</v>
      </c>
      <c r="N74" s="302">
        <v>49074</v>
      </c>
      <c r="O74" s="302">
        <v>61135</v>
      </c>
      <c r="P74" s="302">
        <v>73109</v>
      </c>
      <c r="Q74" s="302">
        <v>85012</v>
      </c>
      <c r="R74" s="302">
        <v>96810</v>
      </c>
      <c r="S74" s="302">
        <v>108523</v>
      </c>
      <c r="T74" s="302">
        <v>120774</v>
      </c>
      <c r="U74" s="302">
        <v>132139</v>
      </c>
      <c r="V74" s="302">
        <v>143158</v>
      </c>
      <c r="W74" s="302">
        <v>154716</v>
      </c>
      <c r="X74" s="302">
        <v>166417</v>
      </c>
      <c r="Y74" s="302">
        <v>178304</v>
      </c>
      <c r="Z74" s="302">
        <v>190191</v>
      </c>
      <c r="AA74" s="302">
        <v>202078</v>
      </c>
      <c r="AB74" s="302">
        <v>213965</v>
      </c>
      <c r="AC74" s="302">
        <v>225852</v>
      </c>
      <c r="AD74" s="302">
        <v>237739</v>
      </c>
      <c r="AE74" s="302">
        <v>249626</v>
      </c>
      <c r="AF74" s="302">
        <v>261513</v>
      </c>
      <c r="AG74" s="302">
        <v>273400</v>
      </c>
      <c r="AH74" s="302">
        <v>285287</v>
      </c>
      <c r="AI74" s="302">
        <v>297174</v>
      </c>
      <c r="AJ74" s="302">
        <v>309061</v>
      </c>
      <c r="AK74" s="302">
        <v>320948</v>
      </c>
      <c r="AL74" s="302">
        <v>332835</v>
      </c>
      <c r="AM74" s="302">
        <v>344722</v>
      </c>
      <c r="AN74" s="302">
        <v>356609</v>
      </c>
      <c r="AO74" s="302">
        <v>368496</v>
      </c>
      <c r="AP74" s="163"/>
      <c r="AQ74" s="163"/>
    </row>
    <row r="75" spans="1:43" s="294" customFormat="1" ht="15.75" x14ac:dyDescent="0.25">
      <c r="A75" s="19" t="s">
        <v>313</v>
      </c>
      <c r="B75" s="303"/>
      <c r="C75" s="303"/>
      <c r="D75" s="303">
        <v>0</v>
      </c>
      <c r="E75" s="303"/>
      <c r="F75" s="303"/>
      <c r="G75" s="303"/>
      <c r="H75" s="303"/>
      <c r="I75" s="303">
        <v>0</v>
      </c>
      <c r="J75" s="304">
        <v>0</v>
      </c>
      <c r="K75" s="304">
        <v>0</v>
      </c>
      <c r="L75" s="304">
        <v>0</v>
      </c>
      <c r="M75" s="304">
        <v>0</v>
      </c>
      <c r="N75" s="304">
        <v>0</v>
      </c>
      <c r="O75" s="304">
        <v>0</v>
      </c>
      <c r="P75" s="304">
        <v>0</v>
      </c>
      <c r="Q75" s="304">
        <v>0</v>
      </c>
      <c r="R75" s="304">
        <v>0</v>
      </c>
      <c r="S75" s="304">
        <v>0</v>
      </c>
      <c r="T75" s="304">
        <v>0</v>
      </c>
      <c r="U75" s="304">
        <v>0</v>
      </c>
      <c r="V75" s="304">
        <v>0</v>
      </c>
      <c r="W75" s="304">
        <v>0</v>
      </c>
      <c r="X75" s="304">
        <v>0</v>
      </c>
      <c r="Y75" s="304">
        <v>0</v>
      </c>
      <c r="Z75" s="304">
        <v>0</v>
      </c>
      <c r="AA75" s="304">
        <v>0</v>
      </c>
      <c r="AB75" s="304">
        <v>0</v>
      </c>
      <c r="AC75" s="304">
        <v>0</v>
      </c>
      <c r="AD75" s="304">
        <v>0</v>
      </c>
      <c r="AE75" s="304">
        <v>0</v>
      </c>
      <c r="AF75" s="304">
        <v>0</v>
      </c>
      <c r="AG75" s="304">
        <v>0</v>
      </c>
      <c r="AH75" s="304">
        <v>0</v>
      </c>
      <c r="AI75" s="304">
        <v>0</v>
      </c>
      <c r="AJ75" s="304">
        <v>0</v>
      </c>
      <c r="AK75" s="304">
        <v>0</v>
      </c>
      <c r="AL75" s="304">
        <v>0</v>
      </c>
      <c r="AM75" s="304">
        <v>0</v>
      </c>
      <c r="AN75" s="304">
        <v>0</v>
      </c>
      <c r="AO75" s="304">
        <v>0</v>
      </c>
      <c r="AP75" s="163"/>
      <c r="AQ75" s="165"/>
    </row>
    <row r="76" spans="1:43" s="294" customFormat="1" ht="15.75" x14ac:dyDescent="0.25">
      <c r="A76" s="47" t="s">
        <v>325</v>
      </c>
      <c r="B76" s="301">
        <v>19866.430770000003</v>
      </c>
      <c r="C76" s="301">
        <f>'[3]BANCO DE DADOS'!$B$718</f>
        <v>28236.666519999995</v>
      </c>
      <c r="D76" s="301">
        <v>36124.678719999996</v>
      </c>
      <c r="E76" s="301">
        <v>34214.400240000003</v>
      </c>
      <c r="F76" s="301">
        <v>40629.600380000003</v>
      </c>
      <c r="G76" s="301">
        <v>47044.800519999997</v>
      </c>
      <c r="H76" s="301">
        <v>53459.479480000002</v>
      </c>
      <c r="I76" s="301">
        <v>59836.405510000004</v>
      </c>
      <c r="J76" s="302">
        <v>66087.512530000007</v>
      </c>
      <c r="K76" s="302">
        <v>73058.114475508119</v>
      </c>
      <c r="L76" s="302">
        <v>80558.542960197359</v>
      </c>
      <c r="M76" s="302">
        <v>86787.6</v>
      </c>
      <c r="N76" s="302">
        <v>91097</v>
      </c>
      <c r="O76" s="302">
        <v>97230</v>
      </c>
      <c r="P76" s="302">
        <v>103294</v>
      </c>
      <c r="Q76" s="302">
        <v>109305</v>
      </c>
      <c r="R76" s="302">
        <v>115203</v>
      </c>
      <c r="S76" s="302">
        <v>121053</v>
      </c>
      <c r="T76" s="302">
        <v>126723</v>
      </c>
      <c r="U76" s="302">
        <v>132699</v>
      </c>
      <c r="V76" s="302">
        <v>138350</v>
      </c>
      <c r="W76" s="302">
        <v>144198</v>
      </c>
      <c r="X76" s="302">
        <v>150198</v>
      </c>
      <c r="Y76" s="302">
        <v>156370</v>
      </c>
      <c r="Z76" s="302">
        <v>162543</v>
      </c>
      <c r="AA76" s="302">
        <v>168715</v>
      </c>
      <c r="AB76" s="302">
        <v>250337</v>
      </c>
      <c r="AC76" s="302">
        <v>245276</v>
      </c>
      <c r="AD76" s="302">
        <v>240054</v>
      </c>
      <c r="AE76" s="302">
        <v>236584</v>
      </c>
      <c r="AF76" s="302">
        <v>264751</v>
      </c>
      <c r="AG76" s="302">
        <v>261105</v>
      </c>
      <c r="AH76" s="302">
        <v>211922</v>
      </c>
      <c r="AI76" s="302">
        <v>250876</v>
      </c>
      <c r="AJ76" s="302">
        <v>70432</v>
      </c>
      <c r="AK76" s="302">
        <v>222210</v>
      </c>
      <c r="AL76" s="302">
        <v>222210</v>
      </c>
      <c r="AM76" s="302">
        <v>183693</v>
      </c>
      <c r="AN76" s="302">
        <v>139251</v>
      </c>
      <c r="AO76" s="302">
        <v>97032</v>
      </c>
      <c r="AP76" s="163"/>
      <c r="AQ76" s="163"/>
    </row>
    <row r="77" spans="1:43" s="294" customFormat="1" ht="15.75" x14ac:dyDescent="0.25">
      <c r="A77" s="20" t="s">
        <v>326</v>
      </c>
      <c r="B77" s="303">
        <v>71250.421599999987</v>
      </c>
      <c r="C77" s="303">
        <f>'[3]BANCO DE DADOS'!$B$719</f>
        <v>69574.39026</v>
      </c>
      <c r="D77" s="303">
        <v>126190.24338999999</v>
      </c>
      <c r="E77" s="303">
        <v>84547.932159999997</v>
      </c>
      <c r="F77" s="303">
        <v>83203.485970000009</v>
      </c>
      <c r="G77" s="303">
        <v>82731.608919999999</v>
      </c>
      <c r="H77" s="303">
        <v>123869.6691</v>
      </c>
      <c r="I77" s="303">
        <v>122092.01679000001</v>
      </c>
      <c r="J77" s="304">
        <v>121000.08679</v>
      </c>
      <c r="K77" s="304">
        <v>115520.94463070865</v>
      </c>
      <c r="L77" s="304">
        <v>160893.92886148015</v>
      </c>
      <c r="M77" s="304">
        <v>159592.6</v>
      </c>
      <c r="N77" s="304">
        <v>157685</v>
      </c>
      <c r="O77" s="304">
        <v>156401</v>
      </c>
      <c r="P77" s="304">
        <v>192332</v>
      </c>
      <c r="Q77" s="304">
        <v>190889</v>
      </c>
      <c r="R77" s="304">
        <v>188722</v>
      </c>
      <c r="S77" s="304">
        <v>187744</v>
      </c>
      <c r="T77" s="304">
        <v>222184</v>
      </c>
      <c r="U77" s="304">
        <v>218190</v>
      </c>
      <c r="V77" s="304">
        <v>211502</v>
      </c>
      <c r="W77" s="304">
        <v>206569</v>
      </c>
      <c r="X77" s="304">
        <v>237604</v>
      </c>
      <c r="Y77" s="304">
        <v>231145</v>
      </c>
      <c r="Z77" s="304">
        <v>223817</v>
      </c>
      <c r="AA77" s="304">
        <v>220493</v>
      </c>
      <c r="AB77" s="304">
        <v>174887</v>
      </c>
      <c r="AC77" s="304">
        <v>181060</v>
      </c>
      <c r="AD77" s="304">
        <v>187232</v>
      </c>
      <c r="AE77" s="304">
        <v>193405</v>
      </c>
      <c r="AF77" s="304">
        <v>199577</v>
      </c>
      <c r="AG77" s="304">
        <v>205750</v>
      </c>
      <c r="AH77" s="304">
        <v>255318</v>
      </c>
      <c r="AI77" s="304">
        <v>218095</v>
      </c>
      <c r="AJ77" s="304">
        <v>222210</v>
      </c>
      <c r="AK77" s="304">
        <v>69587</v>
      </c>
      <c r="AL77" s="304">
        <v>36102</v>
      </c>
      <c r="AM77" s="304">
        <v>0</v>
      </c>
      <c r="AN77" s="304">
        <v>0</v>
      </c>
      <c r="AO77" s="304">
        <v>0</v>
      </c>
      <c r="AP77" s="163"/>
      <c r="AQ77" s="165"/>
    </row>
    <row r="78" spans="1:43" s="294" customFormat="1" ht="15.75" x14ac:dyDescent="0.25">
      <c r="A78" s="47" t="s">
        <v>39</v>
      </c>
      <c r="B78" s="301">
        <v>26303.154320000001</v>
      </c>
      <c r="C78" s="301">
        <f>'[3]BANCO DE DADOS'!$B$720</f>
        <v>37385.345970000002</v>
      </c>
      <c r="D78" s="301">
        <v>47829.074540000001</v>
      </c>
      <c r="E78" s="301">
        <v>45299.866320000008</v>
      </c>
      <c r="F78" s="301">
        <v>53793.591280000001</v>
      </c>
      <c r="G78" s="301">
        <v>62287.316240000007</v>
      </c>
      <c r="H78" s="301">
        <v>70780.351349999997</v>
      </c>
      <c r="I78" s="301">
        <v>79223.376780000021</v>
      </c>
      <c r="J78" s="302">
        <v>87499.832090000011</v>
      </c>
      <c r="K78" s="302">
        <v>96728.942999528954</v>
      </c>
      <c r="L78" s="302">
        <v>106659.51029512045</v>
      </c>
      <c r="M78" s="302">
        <v>114906.7</v>
      </c>
      <c r="N78" s="302">
        <v>120612</v>
      </c>
      <c r="O78" s="302">
        <v>128732</v>
      </c>
      <c r="P78" s="302">
        <v>136761</v>
      </c>
      <c r="Q78" s="302">
        <v>144720</v>
      </c>
      <c r="R78" s="302">
        <v>152528</v>
      </c>
      <c r="S78" s="302">
        <v>160274</v>
      </c>
      <c r="T78" s="302">
        <v>167960</v>
      </c>
      <c r="U78" s="302">
        <v>175693</v>
      </c>
      <c r="V78" s="302">
        <v>183175</v>
      </c>
      <c r="W78" s="302">
        <v>190918</v>
      </c>
      <c r="X78" s="302">
        <v>198861</v>
      </c>
      <c r="Y78" s="302">
        <v>207034</v>
      </c>
      <c r="Z78" s="302">
        <v>215206</v>
      </c>
      <c r="AA78" s="302">
        <v>200883</v>
      </c>
      <c r="AB78" s="302">
        <v>198322</v>
      </c>
      <c r="AC78" s="302">
        <v>205322</v>
      </c>
      <c r="AD78" s="302">
        <v>212324</v>
      </c>
      <c r="AE78" s="302">
        <v>88515</v>
      </c>
      <c r="AF78" s="302">
        <v>91340</v>
      </c>
      <c r="AG78" s="302">
        <v>65086</v>
      </c>
      <c r="AH78" s="302">
        <v>67038</v>
      </c>
      <c r="AI78" s="302">
        <v>0</v>
      </c>
      <c r="AJ78" s="302">
        <v>0</v>
      </c>
      <c r="AK78" s="302">
        <v>0</v>
      </c>
      <c r="AL78" s="302">
        <v>0</v>
      </c>
      <c r="AM78" s="302">
        <v>0</v>
      </c>
      <c r="AN78" s="302">
        <v>0</v>
      </c>
      <c r="AO78" s="302">
        <v>0</v>
      </c>
      <c r="AP78" s="163"/>
      <c r="AQ78" s="163"/>
    </row>
    <row r="79" spans="1:43" s="294" customFormat="1" ht="15.75" x14ac:dyDescent="0.25">
      <c r="A79" s="19" t="s">
        <v>317</v>
      </c>
      <c r="B79" s="303">
        <v>170193.60021999999</v>
      </c>
      <c r="C79" s="303">
        <f>'[3]BANCO DE DADOS'!$B$721</f>
        <v>174556.8002</v>
      </c>
      <c r="D79" s="303">
        <v>178920.00021999999</v>
      </c>
      <c r="E79" s="303">
        <v>183283.20022</v>
      </c>
      <c r="F79" s="303">
        <v>187646.40022000001</v>
      </c>
      <c r="G79" s="303">
        <v>192009.60021999999</v>
      </c>
      <c r="H79" s="303">
        <v>196372.80022</v>
      </c>
      <c r="I79" s="303">
        <v>200736.21418000001</v>
      </c>
      <c r="J79" s="304">
        <v>205099.41418000002</v>
      </c>
      <c r="K79" s="304">
        <v>198997.2847389204</v>
      </c>
      <c r="L79" s="304">
        <v>204213.34741025619</v>
      </c>
      <c r="M79" s="304">
        <v>209189.4</v>
      </c>
      <c r="N79" s="304">
        <v>222552</v>
      </c>
      <c r="O79" s="304">
        <v>226915</v>
      </c>
      <c r="P79" s="304">
        <v>231278</v>
      </c>
      <c r="Q79" s="304">
        <v>235607</v>
      </c>
      <c r="R79" s="304">
        <v>240005</v>
      </c>
      <c r="S79" s="304">
        <v>244368</v>
      </c>
      <c r="T79" s="304">
        <v>248731</v>
      </c>
      <c r="U79" s="304">
        <v>253094</v>
      </c>
      <c r="V79" s="304">
        <v>257458</v>
      </c>
      <c r="W79" s="304">
        <v>261821</v>
      </c>
      <c r="X79" s="304">
        <v>266184</v>
      </c>
      <c r="Y79" s="304">
        <v>270547</v>
      </c>
      <c r="Z79" s="304">
        <v>274910</v>
      </c>
      <c r="AA79" s="304">
        <v>279274</v>
      </c>
      <c r="AB79" s="304">
        <v>283637</v>
      </c>
      <c r="AC79" s="304">
        <v>288000</v>
      </c>
      <c r="AD79" s="304">
        <v>288000</v>
      </c>
      <c r="AE79" s="304">
        <v>288000</v>
      </c>
      <c r="AF79" s="304">
        <v>288000</v>
      </c>
      <c r="AG79" s="304">
        <v>288000</v>
      </c>
      <c r="AH79" s="304">
        <v>288000</v>
      </c>
      <c r="AI79" s="304">
        <v>288000</v>
      </c>
      <c r="AJ79" s="304">
        <v>288000</v>
      </c>
      <c r="AK79" s="304">
        <v>288000</v>
      </c>
      <c r="AL79" s="304">
        <v>288000</v>
      </c>
      <c r="AM79" s="304">
        <v>0</v>
      </c>
      <c r="AN79" s="304">
        <v>0</v>
      </c>
      <c r="AO79" s="304">
        <v>0</v>
      </c>
      <c r="AP79" s="163"/>
      <c r="AQ79" s="165"/>
    </row>
    <row r="80" spans="1:43" s="294" customFormat="1" ht="15.75" x14ac:dyDescent="0.25">
      <c r="A80" s="3" t="s">
        <v>332</v>
      </c>
      <c r="B80" s="301"/>
      <c r="C80" s="301"/>
      <c r="D80" s="301"/>
      <c r="E80" s="301"/>
      <c r="F80" s="301"/>
      <c r="G80" s="301"/>
      <c r="H80" s="301"/>
      <c r="I80" s="301">
        <v>0</v>
      </c>
      <c r="J80" s="302">
        <v>0</v>
      </c>
      <c r="K80" s="302">
        <v>0</v>
      </c>
      <c r="L80" s="302">
        <v>0</v>
      </c>
      <c r="M80" s="302">
        <v>0</v>
      </c>
      <c r="N80" s="302">
        <v>0</v>
      </c>
      <c r="O80" s="302">
        <v>0</v>
      </c>
      <c r="P80" s="302">
        <v>0</v>
      </c>
      <c r="Q80" s="302">
        <v>0</v>
      </c>
      <c r="R80" s="302">
        <v>0</v>
      </c>
      <c r="S80" s="302">
        <v>0</v>
      </c>
      <c r="T80" s="302">
        <v>0</v>
      </c>
      <c r="U80" s="302">
        <v>0</v>
      </c>
      <c r="V80" s="302">
        <v>0</v>
      </c>
      <c r="W80" s="302">
        <v>0</v>
      </c>
      <c r="X80" s="302">
        <v>0</v>
      </c>
      <c r="Y80" s="302">
        <v>0</v>
      </c>
      <c r="Z80" s="302">
        <v>0</v>
      </c>
      <c r="AA80" s="302">
        <v>0</v>
      </c>
      <c r="AB80" s="302">
        <v>0</v>
      </c>
      <c r="AC80" s="302">
        <v>0</v>
      </c>
      <c r="AD80" s="302">
        <v>0</v>
      </c>
      <c r="AE80" s="302">
        <v>0</v>
      </c>
      <c r="AF80" s="302">
        <v>0</v>
      </c>
      <c r="AG80" s="302">
        <v>0</v>
      </c>
      <c r="AH80" s="302">
        <v>0</v>
      </c>
      <c r="AI80" s="302">
        <v>0</v>
      </c>
      <c r="AJ80" s="302">
        <v>0</v>
      </c>
      <c r="AK80" s="302">
        <v>0</v>
      </c>
      <c r="AL80" s="302">
        <v>0</v>
      </c>
      <c r="AM80" s="302">
        <v>0</v>
      </c>
      <c r="AN80" s="302">
        <v>0</v>
      </c>
      <c r="AO80" s="302">
        <v>0</v>
      </c>
      <c r="AP80" s="163"/>
      <c r="AQ80" s="163"/>
    </row>
    <row r="81" spans="1:43" s="294" customFormat="1" ht="15.75" x14ac:dyDescent="0.25">
      <c r="A81" s="20" t="s">
        <v>325</v>
      </c>
      <c r="B81" s="303">
        <v>0</v>
      </c>
      <c r="C81" s="303">
        <v>0</v>
      </c>
      <c r="D81" s="303">
        <v>0</v>
      </c>
      <c r="E81" s="303">
        <v>0</v>
      </c>
      <c r="F81" s="303">
        <v>0</v>
      </c>
      <c r="G81" s="303">
        <v>0</v>
      </c>
      <c r="H81" s="303">
        <v>0</v>
      </c>
      <c r="I81" s="303">
        <v>0</v>
      </c>
      <c r="J81" s="304">
        <v>0</v>
      </c>
      <c r="K81" s="304">
        <v>0</v>
      </c>
      <c r="L81" s="304">
        <v>0</v>
      </c>
      <c r="M81" s="304">
        <v>0</v>
      </c>
      <c r="N81" s="304">
        <v>0</v>
      </c>
      <c r="O81" s="304">
        <v>0</v>
      </c>
      <c r="P81" s="304">
        <v>0</v>
      </c>
      <c r="Q81" s="304">
        <v>0</v>
      </c>
      <c r="R81" s="304">
        <v>0</v>
      </c>
      <c r="S81" s="304">
        <v>0</v>
      </c>
      <c r="T81" s="304">
        <v>0</v>
      </c>
      <c r="U81" s="304">
        <v>0</v>
      </c>
      <c r="V81" s="304">
        <v>28520</v>
      </c>
      <c r="W81" s="304">
        <v>28520</v>
      </c>
      <c r="X81" s="304">
        <v>57100</v>
      </c>
      <c r="Y81" s="304">
        <v>57100</v>
      </c>
      <c r="Z81" s="304">
        <v>85680</v>
      </c>
      <c r="AA81" s="304">
        <v>85680</v>
      </c>
      <c r="AB81" s="304">
        <v>114260</v>
      </c>
      <c r="AC81" s="304">
        <v>114260</v>
      </c>
      <c r="AD81" s="304">
        <v>142840</v>
      </c>
      <c r="AE81" s="304">
        <v>142840</v>
      </c>
      <c r="AF81" s="304">
        <v>171420</v>
      </c>
      <c r="AG81" s="304">
        <v>171420</v>
      </c>
      <c r="AH81" s="304">
        <v>200000</v>
      </c>
      <c r="AI81" s="304">
        <v>200000</v>
      </c>
      <c r="AJ81" s="304">
        <v>200000</v>
      </c>
      <c r="AK81" s="304">
        <v>200000</v>
      </c>
      <c r="AL81" s="304">
        <v>0</v>
      </c>
      <c r="AM81" s="304">
        <v>0</v>
      </c>
      <c r="AN81" s="304">
        <v>0</v>
      </c>
      <c r="AO81" s="304">
        <v>0</v>
      </c>
      <c r="AP81" s="163"/>
      <c r="AQ81" s="165"/>
    </row>
    <row r="82" spans="1:43" s="294" customFormat="1" ht="15.75" x14ac:dyDescent="0.25">
      <c r="A82" s="47" t="s">
        <v>326</v>
      </c>
      <c r="B82" s="301">
        <v>0</v>
      </c>
      <c r="C82" s="301">
        <v>0</v>
      </c>
      <c r="D82" s="301">
        <v>0</v>
      </c>
      <c r="E82" s="301">
        <v>0</v>
      </c>
      <c r="F82" s="301">
        <v>0</v>
      </c>
      <c r="G82" s="301">
        <v>0</v>
      </c>
      <c r="H82" s="301">
        <v>0</v>
      </c>
      <c r="I82" s="301">
        <v>0</v>
      </c>
      <c r="J82" s="302">
        <v>0</v>
      </c>
      <c r="K82" s="302">
        <v>14319.038561053332</v>
      </c>
      <c r="L82" s="302">
        <v>13834.051684188122</v>
      </c>
      <c r="M82" s="302">
        <v>13607.1</v>
      </c>
      <c r="N82" s="302">
        <v>46849</v>
      </c>
      <c r="O82" s="302">
        <v>46288</v>
      </c>
      <c r="P82" s="302">
        <v>46136</v>
      </c>
      <c r="Q82" s="302">
        <v>46384</v>
      </c>
      <c r="R82" s="302">
        <v>92702</v>
      </c>
      <c r="S82" s="302">
        <v>92595</v>
      </c>
      <c r="T82" s="302">
        <v>91024</v>
      </c>
      <c r="U82" s="302">
        <v>89388</v>
      </c>
      <c r="V82" s="302">
        <v>129998</v>
      </c>
      <c r="W82" s="302">
        <v>126966</v>
      </c>
      <c r="X82" s="302">
        <v>124920</v>
      </c>
      <c r="Y82" s="302">
        <v>121524</v>
      </c>
      <c r="Z82" s="302">
        <v>156910</v>
      </c>
      <c r="AA82" s="302">
        <v>154580</v>
      </c>
      <c r="AB82" s="302">
        <v>153565</v>
      </c>
      <c r="AC82" s="302">
        <v>150460</v>
      </c>
      <c r="AD82" s="302">
        <v>184083</v>
      </c>
      <c r="AE82" s="302">
        <v>181421</v>
      </c>
      <c r="AF82" s="302">
        <v>180463</v>
      </c>
      <c r="AG82" s="302">
        <v>177978</v>
      </c>
      <c r="AH82" s="302">
        <v>208848</v>
      </c>
      <c r="AI82" s="302">
        <v>205215</v>
      </c>
      <c r="AJ82" s="302">
        <v>203339</v>
      </c>
      <c r="AK82" s="302">
        <v>200900</v>
      </c>
      <c r="AL82" s="302">
        <v>0</v>
      </c>
      <c r="AM82" s="302">
        <v>0</v>
      </c>
      <c r="AN82" s="302">
        <v>0</v>
      </c>
      <c r="AO82" s="302">
        <v>0</v>
      </c>
      <c r="AP82" s="163"/>
      <c r="AQ82" s="163"/>
    </row>
    <row r="83" spans="1:43" s="294" customFormat="1" ht="15.75" x14ac:dyDescent="0.25">
      <c r="A83" s="19" t="s">
        <v>333</v>
      </c>
      <c r="B83" s="303"/>
      <c r="C83" s="303"/>
      <c r="D83" s="303"/>
      <c r="E83" s="303"/>
      <c r="F83" s="303"/>
      <c r="G83" s="303"/>
      <c r="H83" s="303"/>
      <c r="I83" s="303">
        <v>0</v>
      </c>
      <c r="J83" s="304">
        <v>0</v>
      </c>
      <c r="K83" s="304">
        <v>0</v>
      </c>
      <c r="L83" s="304">
        <v>0</v>
      </c>
      <c r="M83" s="304">
        <v>0</v>
      </c>
      <c r="N83" s="304">
        <v>0</v>
      </c>
      <c r="O83" s="304">
        <v>0</v>
      </c>
      <c r="P83" s="304">
        <v>0</v>
      </c>
      <c r="Q83" s="304">
        <v>0</v>
      </c>
      <c r="R83" s="304">
        <v>0</v>
      </c>
      <c r="S83" s="304">
        <v>0</v>
      </c>
      <c r="T83" s="304">
        <v>0</v>
      </c>
      <c r="U83" s="304">
        <v>0</v>
      </c>
      <c r="V83" s="304">
        <v>0</v>
      </c>
      <c r="W83" s="304">
        <v>0</v>
      </c>
      <c r="X83" s="304">
        <v>0</v>
      </c>
      <c r="Y83" s="304">
        <v>0</v>
      </c>
      <c r="Z83" s="304">
        <v>0</v>
      </c>
      <c r="AA83" s="304">
        <v>0</v>
      </c>
      <c r="AB83" s="304">
        <v>0</v>
      </c>
      <c r="AC83" s="304">
        <v>0</v>
      </c>
      <c r="AD83" s="304">
        <v>0</v>
      </c>
      <c r="AE83" s="304">
        <v>0</v>
      </c>
      <c r="AF83" s="304">
        <v>0</v>
      </c>
      <c r="AG83" s="304">
        <v>0</v>
      </c>
      <c r="AH83" s="304">
        <v>0</v>
      </c>
      <c r="AI83" s="304">
        <v>0</v>
      </c>
      <c r="AJ83" s="304">
        <v>0</v>
      </c>
      <c r="AK83" s="304">
        <v>0</v>
      </c>
      <c r="AL83" s="304">
        <v>0</v>
      </c>
      <c r="AM83" s="304">
        <v>0</v>
      </c>
      <c r="AN83" s="304">
        <v>0</v>
      </c>
      <c r="AO83" s="304">
        <v>0</v>
      </c>
      <c r="AP83" s="163"/>
      <c r="AQ83" s="165"/>
    </row>
    <row r="84" spans="1:43" s="294" customFormat="1" ht="15.75" x14ac:dyDescent="0.25">
      <c r="A84" s="47" t="s">
        <v>325</v>
      </c>
      <c r="B84" s="301">
        <v>0</v>
      </c>
      <c r="C84" s="301">
        <v>0</v>
      </c>
      <c r="D84" s="301">
        <v>0</v>
      </c>
      <c r="E84" s="301">
        <v>0</v>
      </c>
      <c r="F84" s="301">
        <v>0</v>
      </c>
      <c r="G84" s="301">
        <v>0</v>
      </c>
      <c r="H84" s="301">
        <v>0</v>
      </c>
      <c r="I84" s="301">
        <v>0</v>
      </c>
      <c r="J84" s="302">
        <v>0</v>
      </c>
      <c r="K84" s="302">
        <v>0</v>
      </c>
      <c r="L84" s="302">
        <v>0</v>
      </c>
      <c r="M84" s="302">
        <v>130000</v>
      </c>
      <c r="N84" s="302">
        <v>130000</v>
      </c>
      <c r="O84" s="302">
        <v>130000</v>
      </c>
      <c r="P84" s="302">
        <v>130000</v>
      </c>
      <c r="Q84" s="302">
        <v>130000</v>
      </c>
      <c r="R84" s="302">
        <v>130000</v>
      </c>
      <c r="S84" s="302">
        <v>130000</v>
      </c>
      <c r="T84" s="302">
        <v>130000</v>
      </c>
      <c r="U84" s="302">
        <v>130000</v>
      </c>
      <c r="V84" s="302">
        <v>130000</v>
      </c>
      <c r="W84" s="302">
        <v>130000</v>
      </c>
      <c r="X84" s="302">
        <v>130000</v>
      </c>
      <c r="Y84" s="302">
        <v>130000</v>
      </c>
      <c r="Z84" s="302">
        <v>130000</v>
      </c>
      <c r="AA84" s="302">
        <v>130000</v>
      </c>
      <c r="AB84" s="302">
        <v>130000</v>
      </c>
      <c r="AC84" s="302">
        <v>0</v>
      </c>
      <c r="AD84" s="302">
        <v>0</v>
      </c>
      <c r="AE84" s="302">
        <v>0</v>
      </c>
      <c r="AF84" s="302">
        <v>0</v>
      </c>
      <c r="AG84" s="302">
        <v>0</v>
      </c>
      <c r="AH84" s="302">
        <v>0</v>
      </c>
      <c r="AI84" s="302">
        <v>0</v>
      </c>
      <c r="AJ84" s="302">
        <v>0</v>
      </c>
      <c r="AK84" s="302">
        <v>0</v>
      </c>
      <c r="AL84" s="302">
        <v>0</v>
      </c>
      <c r="AM84" s="302">
        <v>0</v>
      </c>
      <c r="AN84" s="302">
        <v>0</v>
      </c>
      <c r="AO84" s="302">
        <v>0</v>
      </c>
      <c r="AP84" s="163"/>
      <c r="AQ84" s="163"/>
    </row>
    <row r="85" spans="1:43" s="294" customFormat="1" ht="15.75" x14ac:dyDescent="0.25">
      <c r="A85" s="20" t="s">
        <v>326</v>
      </c>
      <c r="B85" s="303">
        <v>0</v>
      </c>
      <c r="C85" s="303">
        <v>0</v>
      </c>
      <c r="D85" s="303">
        <v>0</v>
      </c>
      <c r="E85" s="303">
        <v>33106.0147</v>
      </c>
      <c r="F85" s="303">
        <v>32579.576560000001</v>
      </c>
      <c r="G85" s="303">
        <v>32394.80601</v>
      </c>
      <c r="H85" s="303">
        <v>32294.585170000002</v>
      </c>
      <c r="I85" s="303">
        <v>63329.820910000002</v>
      </c>
      <c r="J85" s="304">
        <v>62763.431230000002</v>
      </c>
      <c r="K85" s="304">
        <v>63071.649037542957</v>
      </c>
      <c r="L85" s="304">
        <v>61838.156360001252</v>
      </c>
      <c r="M85" s="304">
        <v>91714.1</v>
      </c>
      <c r="N85" s="304">
        <v>90550</v>
      </c>
      <c r="O85" s="304">
        <v>89765</v>
      </c>
      <c r="P85" s="304">
        <v>89553</v>
      </c>
      <c r="Q85" s="304">
        <v>118639</v>
      </c>
      <c r="R85" s="304">
        <v>117253</v>
      </c>
      <c r="S85" s="304">
        <v>116272</v>
      </c>
      <c r="T85" s="304">
        <v>114505</v>
      </c>
      <c r="U85" s="304">
        <v>141326</v>
      </c>
      <c r="V85" s="304">
        <v>136994</v>
      </c>
      <c r="W85" s="304">
        <v>133799</v>
      </c>
      <c r="X85" s="304">
        <v>131642</v>
      </c>
      <c r="Y85" s="304">
        <v>128064</v>
      </c>
      <c r="Z85" s="304">
        <v>124004</v>
      </c>
      <c r="AA85" s="304">
        <v>122162</v>
      </c>
      <c r="AB85" s="304">
        <v>121360</v>
      </c>
      <c r="AC85" s="304">
        <v>0</v>
      </c>
      <c r="AD85" s="304">
        <v>0</v>
      </c>
      <c r="AE85" s="304">
        <v>0</v>
      </c>
      <c r="AF85" s="304">
        <v>0</v>
      </c>
      <c r="AG85" s="304">
        <v>0</v>
      </c>
      <c r="AH85" s="304">
        <v>0</v>
      </c>
      <c r="AI85" s="304">
        <v>0</v>
      </c>
      <c r="AJ85" s="304">
        <v>0</v>
      </c>
      <c r="AK85" s="304">
        <v>0</v>
      </c>
      <c r="AL85" s="304">
        <v>0</v>
      </c>
      <c r="AM85" s="304">
        <v>0</v>
      </c>
      <c r="AN85" s="304">
        <v>0</v>
      </c>
      <c r="AO85" s="304">
        <v>0</v>
      </c>
      <c r="AP85" s="163"/>
      <c r="AQ85" s="165"/>
    </row>
    <row r="86" spans="1:43" s="294" customFormat="1" ht="15.75" x14ac:dyDescent="0.25">
      <c r="A86" s="3" t="s">
        <v>320</v>
      </c>
      <c r="B86" s="301"/>
      <c r="C86" s="301"/>
      <c r="D86" s="301"/>
      <c r="E86" s="301"/>
      <c r="F86" s="301"/>
      <c r="G86" s="301"/>
      <c r="H86" s="301"/>
      <c r="I86" s="301">
        <v>0</v>
      </c>
      <c r="J86" s="302">
        <v>0</v>
      </c>
      <c r="K86" s="302">
        <v>0</v>
      </c>
      <c r="L86" s="302">
        <v>0</v>
      </c>
      <c r="M86" s="302">
        <v>0</v>
      </c>
      <c r="N86" s="302">
        <v>0</v>
      </c>
      <c r="O86" s="302">
        <v>0</v>
      </c>
      <c r="P86" s="302">
        <v>0</v>
      </c>
      <c r="Q86" s="302">
        <v>0</v>
      </c>
      <c r="R86" s="302">
        <v>0</v>
      </c>
      <c r="S86" s="302">
        <v>0</v>
      </c>
      <c r="T86" s="302">
        <v>0</v>
      </c>
      <c r="U86" s="302">
        <v>0</v>
      </c>
      <c r="V86" s="302">
        <v>0</v>
      </c>
      <c r="W86" s="302">
        <v>0</v>
      </c>
      <c r="X86" s="302">
        <v>0</v>
      </c>
      <c r="Y86" s="302">
        <v>0</v>
      </c>
      <c r="Z86" s="302">
        <v>0</v>
      </c>
      <c r="AA86" s="302">
        <v>0</v>
      </c>
      <c r="AB86" s="302">
        <v>0</v>
      </c>
      <c r="AC86" s="302">
        <v>0</v>
      </c>
      <c r="AD86" s="302">
        <v>0</v>
      </c>
      <c r="AE86" s="302">
        <v>0</v>
      </c>
      <c r="AF86" s="302">
        <v>0</v>
      </c>
      <c r="AG86" s="302">
        <v>0</v>
      </c>
      <c r="AH86" s="302">
        <v>0</v>
      </c>
      <c r="AI86" s="302">
        <v>0</v>
      </c>
      <c r="AJ86" s="302">
        <v>0</v>
      </c>
      <c r="AK86" s="302">
        <v>0</v>
      </c>
      <c r="AL86" s="302">
        <v>0</v>
      </c>
      <c r="AM86" s="302">
        <v>0</v>
      </c>
      <c r="AN86" s="302">
        <v>0</v>
      </c>
      <c r="AO86" s="302">
        <v>0</v>
      </c>
      <c r="AP86" s="163"/>
      <c r="AQ86" s="163"/>
    </row>
    <row r="87" spans="1:43" s="294" customFormat="1" ht="15.75" x14ac:dyDescent="0.25">
      <c r="A87" s="20" t="s">
        <v>325</v>
      </c>
      <c r="B87" s="303">
        <v>56415.463590000007</v>
      </c>
      <c r="C87" s="303">
        <f>'[3]BANCO DE DADOS'!$B$729</f>
        <v>58273.521070000003</v>
      </c>
      <c r="D87" s="303">
        <v>59426.54004</v>
      </c>
      <c r="E87" s="303">
        <v>57139.200939999995</v>
      </c>
      <c r="F87" s="303">
        <v>59109.517120000004</v>
      </c>
      <c r="G87" s="303">
        <v>54696.911519999994</v>
      </c>
      <c r="H87" s="303">
        <v>56460.778010000002</v>
      </c>
      <c r="I87" s="303">
        <v>58187.999450000003</v>
      </c>
      <c r="J87" s="304">
        <v>59806.537990000004</v>
      </c>
      <c r="K87" s="304">
        <v>59851.197114054972</v>
      </c>
      <c r="L87" s="304">
        <v>61857.760055902734</v>
      </c>
      <c r="M87" s="304">
        <v>63511.5</v>
      </c>
      <c r="N87" s="304">
        <v>64623</v>
      </c>
      <c r="O87" s="304">
        <v>66228</v>
      </c>
      <c r="P87" s="304">
        <v>58335</v>
      </c>
      <c r="Q87" s="304">
        <v>59633</v>
      </c>
      <c r="R87" s="304">
        <v>60872</v>
      </c>
      <c r="S87" s="304">
        <v>62099</v>
      </c>
      <c r="T87" s="304">
        <v>63315</v>
      </c>
      <c r="U87" s="304">
        <v>64528</v>
      </c>
      <c r="V87" s="304">
        <v>37062</v>
      </c>
      <c r="W87" s="304">
        <v>0</v>
      </c>
      <c r="X87" s="304">
        <v>0</v>
      </c>
      <c r="Y87" s="304">
        <v>0</v>
      </c>
      <c r="Z87" s="304">
        <v>0</v>
      </c>
      <c r="AA87" s="304">
        <v>0</v>
      </c>
      <c r="AB87" s="304">
        <v>0</v>
      </c>
      <c r="AC87" s="304">
        <v>0</v>
      </c>
      <c r="AD87" s="304">
        <v>0</v>
      </c>
      <c r="AE87" s="304">
        <v>0</v>
      </c>
      <c r="AF87" s="304">
        <v>0</v>
      </c>
      <c r="AG87" s="304">
        <v>0</v>
      </c>
      <c r="AH87" s="304">
        <v>0</v>
      </c>
      <c r="AI87" s="304">
        <v>0</v>
      </c>
      <c r="AJ87" s="304">
        <v>0</v>
      </c>
      <c r="AK87" s="304">
        <v>0</v>
      </c>
      <c r="AL87" s="304">
        <v>0</v>
      </c>
      <c r="AM87" s="304">
        <v>0</v>
      </c>
      <c r="AN87" s="304">
        <v>0</v>
      </c>
      <c r="AO87" s="304">
        <v>0</v>
      </c>
      <c r="AP87" s="163"/>
      <c r="AQ87" s="165"/>
    </row>
    <row r="88" spans="1:43" s="294" customFormat="1" ht="15.75" x14ac:dyDescent="0.25">
      <c r="A88" s="47" t="s">
        <v>326</v>
      </c>
      <c r="B88" s="301">
        <v>28854.887579999999</v>
      </c>
      <c r="C88" s="301">
        <f>'[3]BANCO DE DADOS'!$B$730</f>
        <v>29068.742019999998</v>
      </c>
      <c r="D88" s="301">
        <v>29287.56265</v>
      </c>
      <c r="E88" s="301">
        <v>28301.593129999994</v>
      </c>
      <c r="F88" s="301">
        <v>28811.481970000001</v>
      </c>
      <c r="G88" s="301">
        <v>26130.54448</v>
      </c>
      <c r="H88" s="301">
        <v>26890.016820000001</v>
      </c>
      <c r="I88" s="301">
        <v>27427.896619999996</v>
      </c>
      <c r="J88" s="302">
        <v>28003.441909999998</v>
      </c>
      <c r="K88" s="302">
        <v>26956.870929271907</v>
      </c>
      <c r="L88" s="302">
        <v>28467.452857916109</v>
      </c>
      <c r="M88" s="302">
        <v>29046.7</v>
      </c>
      <c r="N88" s="302">
        <v>29274</v>
      </c>
      <c r="O88" s="302">
        <v>29833</v>
      </c>
      <c r="P88" s="302">
        <v>26513</v>
      </c>
      <c r="Q88" s="302">
        <v>26974</v>
      </c>
      <c r="R88" s="302">
        <v>27344</v>
      </c>
      <c r="S88" s="302">
        <v>27853</v>
      </c>
      <c r="T88" s="302">
        <v>28269</v>
      </c>
      <c r="U88" s="302">
        <v>28259</v>
      </c>
      <c r="V88" s="302">
        <v>15578</v>
      </c>
      <c r="W88" s="302">
        <v>0</v>
      </c>
      <c r="X88" s="302">
        <v>0</v>
      </c>
      <c r="Y88" s="302">
        <v>0</v>
      </c>
      <c r="Z88" s="302">
        <v>0</v>
      </c>
      <c r="AA88" s="302">
        <v>0</v>
      </c>
      <c r="AB88" s="302">
        <v>0</v>
      </c>
      <c r="AC88" s="302">
        <v>0</v>
      </c>
      <c r="AD88" s="302">
        <v>0</v>
      </c>
      <c r="AE88" s="302">
        <v>0</v>
      </c>
      <c r="AF88" s="302">
        <v>0</v>
      </c>
      <c r="AG88" s="302">
        <v>0</v>
      </c>
      <c r="AH88" s="302">
        <v>0</v>
      </c>
      <c r="AI88" s="302">
        <v>0</v>
      </c>
      <c r="AJ88" s="302">
        <v>0</v>
      </c>
      <c r="AK88" s="302">
        <v>0</v>
      </c>
      <c r="AL88" s="302">
        <v>0</v>
      </c>
      <c r="AM88" s="302">
        <v>0</v>
      </c>
      <c r="AN88" s="302">
        <v>0</v>
      </c>
      <c r="AO88" s="302">
        <v>0</v>
      </c>
      <c r="AP88" s="163"/>
      <c r="AQ88" s="163"/>
    </row>
    <row r="89" spans="1:43" s="294" customFormat="1" ht="15.75" x14ac:dyDescent="0.25">
      <c r="A89" s="19" t="s">
        <v>334</v>
      </c>
      <c r="B89" s="303"/>
      <c r="C89" s="303"/>
      <c r="D89" s="303"/>
      <c r="E89" s="303"/>
      <c r="F89" s="303"/>
      <c r="G89" s="303"/>
      <c r="H89" s="303"/>
      <c r="I89" s="303">
        <v>0</v>
      </c>
      <c r="J89" s="304">
        <v>0</v>
      </c>
      <c r="K89" s="304">
        <v>0</v>
      </c>
      <c r="L89" s="304">
        <v>0</v>
      </c>
      <c r="M89" s="304">
        <v>0</v>
      </c>
      <c r="N89" s="304">
        <v>0</v>
      </c>
      <c r="O89" s="304">
        <v>0</v>
      </c>
      <c r="P89" s="304">
        <v>0</v>
      </c>
      <c r="Q89" s="304">
        <v>0</v>
      </c>
      <c r="R89" s="304">
        <v>0</v>
      </c>
      <c r="S89" s="304">
        <v>0</v>
      </c>
      <c r="T89" s="304">
        <v>0</v>
      </c>
      <c r="U89" s="304">
        <v>0</v>
      </c>
      <c r="V89" s="304">
        <v>0</v>
      </c>
      <c r="W89" s="304">
        <v>0</v>
      </c>
      <c r="X89" s="304">
        <v>0</v>
      </c>
      <c r="Y89" s="304">
        <v>0</v>
      </c>
      <c r="Z89" s="304">
        <v>0</v>
      </c>
      <c r="AA89" s="304">
        <v>0</v>
      </c>
      <c r="AB89" s="304">
        <v>0</v>
      </c>
      <c r="AC89" s="304">
        <v>0</v>
      </c>
      <c r="AD89" s="304">
        <v>0</v>
      </c>
      <c r="AE89" s="304">
        <v>0</v>
      </c>
      <c r="AF89" s="304">
        <v>0</v>
      </c>
      <c r="AG89" s="304">
        <v>0</v>
      </c>
      <c r="AH89" s="304">
        <v>0</v>
      </c>
      <c r="AI89" s="304">
        <v>0</v>
      </c>
      <c r="AJ89" s="304">
        <v>0</v>
      </c>
      <c r="AK89" s="304">
        <v>0</v>
      </c>
      <c r="AL89" s="304">
        <v>0</v>
      </c>
      <c r="AM89" s="304">
        <v>0</v>
      </c>
      <c r="AN89" s="304">
        <v>0</v>
      </c>
      <c r="AO89" s="304">
        <v>0</v>
      </c>
      <c r="AP89" s="163"/>
      <c r="AQ89" s="165"/>
    </row>
    <row r="90" spans="1:43" s="294" customFormat="1" ht="15.75" x14ac:dyDescent="0.25">
      <c r="A90" s="47" t="s">
        <v>325</v>
      </c>
      <c r="B90" s="301">
        <v>0</v>
      </c>
      <c r="C90" s="301">
        <v>0</v>
      </c>
      <c r="D90" s="301">
        <v>0</v>
      </c>
      <c r="E90" s="301">
        <v>0</v>
      </c>
      <c r="F90" s="301">
        <v>0</v>
      </c>
      <c r="G90" s="301">
        <v>0</v>
      </c>
      <c r="H90" s="301">
        <v>0</v>
      </c>
      <c r="I90" s="301">
        <v>0</v>
      </c>
      <c r="J90" s="302">
        <v>0</v>
      </c>
      <c r="K90" s="302">
        <v>0</v>
      </c>
      <c r="L90" s="302">
        <v>146447.46669550842</v>
      </c>
      <c r="M90" s="302">
        <v>174114</v>
      </c>
      <c r="N90" s="302">
        <v>193667</v>
      </c>
      <c r="O90" s="302">
        <v>221334</v>
      </c>
      <c r="P90" s="302">
        <v>249000</v>
      </c>
      <c r="Q90" s="302">
        <v>276450</v>
      </c>
      <c r="R90" s="302">
        <v>304333</v>
      </c>
      <c r="S90" s="302">
        <v>332000</v>
      </c>
      <c r="T90" s="302">
        <v>332000</v>
      </c>
      <c r="U90" s="302">
        <v>332000</v>
      </c>
      <c r="V90" s="302">
        <v>332000</v>
      </c>
      <c r="W90" s="302">
        <v>332000</v>
      </c>
      <c r="X90" s="302">
        <v>0</v>
      </c>
      <c r="Y90" s="302">
        <v>0</v>
      </c>
      <c r="Z90" s="302">
        <v>0</v>
      </c>
      <c r="AA90" s="302">
        <v>0</v>
      </c>
      <c r="AB90" s="302">
        <v>0</v>
      </c>
      <c r="AC90" s="302">
        <v>0</v>
      </c>
      <c r="AD90" s="302">
        <v>0</v>
      </c>
      <c r="AE90" s="302">
        <v>0</v>
      </c>
      <c r="AF90" s="302">
        <v>0</v>
      </c>
      <c r="AG90" s="302">
        <v>0</v>
      </c>
      <c r="AH90" s="302">
        <v>0</v>
      </c>
      <c r="AI90" s="302">
        <v>0</v>
      </c>
      <c r="AJ90" s="302">
        <v>0</v>
      </c>
      <c r="AK90" s="302">
        <v>0</v>
      </c>
      <c r="AL90" s="302">
        <v>0</v>
      </c>
      <c r="AM90" s="302">
        <v>0</v>
      </c>
      <c r="AN90" s="302">
        <v>0</v>
      </c>
      <c r="AO90" s="302">
        <v>0</v>
      </c>
      <c r="AP90" s="163"/>
      <c r="AQ90" s="163"/>
    </row>
    <row r="91" spans="1:43" s="294" customFormat="1" ht="15.75" x14ac:dyDescent="0.25">
      <c r="A91" s="20" t="s">
        <v>326</v>
      </c>
      <c r="B91" s="303">
        <v>0</v>
      </c>
      <c r="C91" s="303">
        <v>0</v>
      </c>
      <c r="D91" s="303">
        <v>0</v>
      </c>
      <c r="E91" s="303">
        <v>0</v>
      </c>
      <c r="F91" s="303">
        <v>0</v>
      </c>
      <c r="G91" s="303">
        <v>0</v>
      </c>
      <c r="H91" s="303">
        <v>0</v>
      </c>
      <c r="I91" s="303">
        <v>0</v>
      </c>
      <c r="J91" s="304">
        <v>0</v>
      </c>
      <c r="K91" s="304">
        <v>0</v>
      </c>
      <c r="L91" s="304">
        <v>20702.460079230805</v>
      </c>
      <c r="M91" s="304">
        <v>20556.400000000001</v>
      </c>
      <c r="N91" s="304">
        <v>20342</v>
      </c>
      <c r="O91" s="304">
        <v>20198</v>
      </c>
      <c r="P91" s="304">
        <v>20112</v>
      </c>
      <c r="Q91" s="304">
        <v>19961</v>
      </c>
      <c r="R91" s="304">
        <v>19761</v>
      </c>
      <c r="S91" s="304">
        <v>19659</v>
      </c>
      <c r="T91" s="304">
        <v>19403</v>
      </c>
      <c r="U91" s="304">
        <v>19054</v>
      </c>
      <c r="V91" s="304">
        <v>18470</v>
      </c>
      <c r="W91" s="304">
        <v>18040</v>
      </c>
      <c r="X91" s="304">
        <v>0</v>
      </c>
      <c r="Y91" s="304">
        <v>0</v>
      </c>
      <c r="Z91" s="304">
        <v>0</v>
      </c>
      <c r="AA91" s="304">
        <v>0</v>
      </c>
      <c r="AB91" s="304">
        <v>0</v>
      </c>
      <c r="AC91" s="304">
        <v>0</v>
      </c>
      <c r="AD91" s="304">
        <v>0</v>
      </c>
      <c r="AE91" s="304">
        <v>0</v>
      </c>
      <c r="AF91" s="304">
        <v>0</v>
      </c>
      <c r="AG91" s="304">
        <v>0</v>
      </c>
      <c r="AH91" s="304">
        <v>0</v>
      </c>
      <c r="AI91" s="304">
        <v>0</v>
      </c>
      <c r="AJ91" s="304">
        <v>0</v>
      </c>
      <c r="AK91" s="304">
        <v>0</v>
      </c>
      <c r="AL91" s="304">
        <v>0</v>
      </c>
      <c r="AM91" s="304">
        <v>0</v>
      </c>
      <c r="AN91" s="304">
        <v>0</v>
      </c>
      <c r="AO91" s="304">
        <v>0</v>
      </c>
      <c r="AP91" s="163"/>
      <c r="AQ91" s="165"/>
    </row>
    <row r="92" spans="1:43" s="294" customFormat="1" ht="15.75" x14ac:dyDescent="0.25">
      <c r="A92" s="3" t="s">
        <v>335</v>
      </c>
      <c r="B92" s="301">
        <v>0</v>
      </c>
      <c r="C92" s="301">
        <v>0</v>
      </c>
      <c r="D92" s="301">
        <v>0</v>
      </c>
      <c r="E92" s="301">
        <v>0</v>
      </c>
      <c r="F92" s="301">
        <v>0</v>
      </c>
      <c r="G92" s="301">
        <v>0</v>
      </c>
      <c r="H92" s="301">
        <v>0</v>
      </c>
      <c r="I92" s="301">
        <v>0</v>
      </c>
      <c r="J92" s="302">
        <v>0</v>
      </c>
      <c r="K92" s="302">
        <v>0</v>
      </c>
      <c r="L92" s="302">
        <v>37532.9014125299</v>
      </c>
      <c r="M92" s="302">
        <v>37532.9</v>
      </c>
      <c r="N92" s="302">
        <v>79980</v>
      </c>
      <c r="O92" s="302">
        <v>79980</v>
      </c>
      <c r="P92" s="302">
        <v>100000</v>
      </c>
      <c r="Q92" s="302">
        <v>99843</v>
      </c>
      <c r="R92" s="302">
        <v>120000</v>
      </c>
      <c r="S92" s="302">
        <v>120000</v>
      </c>
      <c r="T92" s="302">
        <v>0</v>
      </c>
      <c r="U92" s="302">
        <v>0</v>
      </c>
      <c r="V92" s="302">
        <v>0</v>
      </c>
      <c r="W92" s="302">
        <v>0</v>
      </c>
      <c r="X92" s="302">
        <v>0</v>
      </c>
      <c r="Y92" s="302">
        <v>0</v>
      </c>
      <c r="Z92" s="302">
        <v>0</v>
      </c>
      <c r="AA92" s="302">
        <v>0</v>
      </c>
      <c r="AB92" s="302">
        <v>0</v>
      </c>
      <c r="AC92" s="302">
        <v>0</v>
      </c>
      <c r="AD92" s="302">
        <v>0</v>
      </c>
      <c r="AE92" s="302">
        <v>0</v>
      </c>
      <c r="AF92" s="302">
        <v>0</v>
      </c>
      <c r="AG92" s="302">
        <v>0</v>
      </c>
      <c r="AH92" s="302">
        <v>0</v>
      </c>
      <c r="AI92" s="302">
        <v>0</v>
      </c>
      <c r="AJ92" s="302">
        <v>0</v>
      </c>
      <c r="AK92" s="302">
        <v>0</v>
      </c>
      <c r="AL92" s="302">
        <v>0</v>
      </c>
      <c r="AM92" s="302">
        <v>0</v>
      </c>
      <c r="AN92" s="302">
        <v>0</v>
      </c>
      <c r="AO92" s="302">
        <v>0</v>
      </c>
      <c r="AP92" s="163"/>
      <c r="AQ92" s="163"/>
    </row>
    <row r="93" spans="1:43" s="294" customFormat="1" ht="15.75" x14ac:dyDescent="0.25">
      <c r="A93" s="19" t="s">
        <v>35</v>
      </c>
      <c r="B93" s="303"/>
      <c r="C93" s="303"/>
      <c r="D93" s="303"/>
      <c r="E93" s="303"/>
      <c r="F93" s="303"/>
      <c r="G93" s="303"/>
      <c r="H93" s="303"/>
      <c r="I93" s="303">
        <v>0</v>
      </c>
      <c r="J93" s="304">
        <v>0</v>
      </c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163"/>
      <c r="AQ93" s="165"/>
    </row>
    <row r="94" spans="1:43" s="294" customFormat="1" ht="15.75" x14ac:dyDescent="0.25">
      <c r="A94" s="47" t="s">
        <v>325</v>
      </c>
      <c r="B94" s="301">
        <v>115515.28265000002</v>
      </c>
      <c r="C94" s="301">
        <f>'[3]BANCO DE DADOS'!$B$736</f>
        <v>99332.699660000013</v>
      </c>
      <c r="D94" s="301">
        <v>100117.41385000001</v>
      </c>
      <c r="E94" s="301">
        <v>96748.744749999998</v>
      </c>
      <c r="F94" s="301">
        <v>99208.463359999994</v>
      </c>
      <c r="G94" s="301">
        <v>101668.18197000002</v>
      </c>
      <c r="H94" s="301">
        <v>104126.88479000001</v>
      </c>
      <c r="I94" s="301">
        <v>67955.039400000009</v>
      </c>
      <c r="J94" s="302">
        <v>69355.392810000005</v>
      </c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163"/>
      <c r="AQ94" s="163"/>
    </row>
    <row r="95" spans="1:43" s="294" customFormat="1" ht="15.75" x14ac:dyDescent="0.25">
      <c r="A95" s="20" t="s">
        <v>326</v>
      </c>
      <c r="B95" s="303">
        <v>56243.233699999997</v>
      </c>
      <c r="C95" s="303">
        <f>'[3]BANCO DE DADOS'!$B$737</f>
        <v>47017.37412</v>
      </c>
      <c r="D95" s="303">
        <v>46828.396379999998</v>
      </c>
      <c r="E95" s="303">
        <v>45480.293290000001</v>
      </c>
      <c r="F95" s="303">
        <v>45894.97729000001</v>
      </c>
      <c r="G95" s="303">
        <v>46766.129649999995</v>
      </c>
      <c r="H95" s="303">
        <v>47749.419103949025</v>
      </c>
      <c r="I95" s="303">
        <v>31733.392236050975</v>
      </c>
      <c r="J95" s="304">
        <v>32126.448668124998</v>
      </c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163"/>
      <c r="AQ95" s="165"/>
    </row>
    <row r="96" spans="1:43" s="294" customFormat="1" ht="15.75" x14ac:dyDescent="0.25">
      <c r="A96" s="3" t="s">
        <v>324</v>
      </c>
      <c r="B96" s="301"/>
      <c r="C96" s="301"/>
      <c r="D96" s="301"/>
      <c r="E96" s="301"/>
      <c r="F96" s="301"/>
      <c r="G96" s="301"/>
      <c r="H96" s="301"/>
      <c r="I96" s="301">
        <v>0</v>
      </c>
      <c r="J96" s="302">
        <v>0</v>
      </c>
      <c r="K96" s="302">
        <v>0</v>
      </c>
      <c r="L96" s="302">
        <v>0</v>
      </c>
      <c r="M96" s="302">
        <v>0</v>
      </c>
      <c r="N96" s="302">
        <v>0</v>
      </c>
      <c r="O96" s="302">
        <v>0</v>
      </c>
      <c r="P96" s="302">
        <v>0</v>
      </c>
      <c r="Q96" s="302">
        <v>0</v>
      </c>
      <c r="R96" s="302">
        <v>0</v>
      </c>
      <c r="S96" s="302">
        <v>0</v>
      </c>
      <c r="T96" s="302">
        <v>0</v>
      </c>
      <c r="U96" s="302">
        <v>0</v>
      </c>
      <c r="V96" s="302">
        <v>0</v>
      </c>
      <c r="W96" s="302">
        <v>0</v>
      </c>
      <c r="X96" s="302">
        <v>0</v>
      </c>
      <c r="Y96" s="302">
        <v>0</v>
      </c>
      <c r="Z96" s="302">
        <v>0</v>
      </c>
      <c r="AA96" s="302">
        <v>0</v>
      </c>
      <c r="AB96" s="302">
        <v>0</v>
      </c>
      <c r="AC96" s="302">
        <v>0</v>
      </c>
      <c r="AD96" s="302">
        <v>0</v>
      </c>
      <c r="AE96" s="302">
        <v>0</v>
      </c>
      <c r="AF96" s="302">
        <v>0</v>
      </c>
      <c r="AG96" s="302">
        <v>0</v>
      </c>
      <c r="AH96" s="302">
        <v>0</v>
      </c>
      <c r="AI96" s="302">
        <v>0</v>
      </c>
      <c r="AJ96" s="302">
        <v>0</v>
      </c>
      <c r="AK96" s="302">
        <v>0</v>
      </c>
      <c r="AL96" s="302">
        <v>0</v>
      </c>
      <c r="AM96" s="302">
        <v>0</v>
      </c>
      <c r="AN96" s="302">
        <v>0</v>
      </c>
      <c r="AO96" s="302">
        <v>0</v>
      </c>
      <c r="AP96" s="163"/>
      <c r="AQ96" s="163"/>
    </row>
    <row r="97" spans="1:43" s="294" customFormat="1" ht="15.75" x14ac:dyDescent="0.25">
      <c r="A97" s="20" t="s">
        <v>325</v>
      </c>
      <c r="B97" s="303">
        <v>173828.20284000001</v>
      </c>
      <c r="C97" s="303">
        <f>'[3]BANCO DE DADOS'!$B$739</f>
        <v>169739.22332999998</v>
      </c>
      <c r="D97" s="303">
        <v>201945.24070999998</v>
      </c>
      <c r="E97" s="303">
        <v>203203.67969999998</v>
      </c>
      <c r="F97" s="303">
        <v>199972.41898000002</v>
      </c>
      <c r="G97" s="303">
        <v>198838.30171999999</v>
      </c>
      <c r="H97" s="303">
        <v>198141.15257000001</v>
      </c>
      <c r="I97" s="303">
        <v>195297.62518999999</v>
      </c>
      <c r="J97" s="304">
        <v>193550.99158999999</v>
      </c>
      <c r="K97" s="304">
        <v>192175.32827858045</v>
      </c>
      <c r="L97" s="304">
        <v>189322.04233999996</v>
      </c>
      <c r="M97" s="304">
        <v>187984.7</v>
      </c>
      <c r="N97" s="304">
        <v>0</v>
      </c>
      <c r="O97" s="304">
        <v>0</v>
      </c>
      <c r="P97" s="304">
        <v>0</v>
      </c>
      <c r="Q97" s="304">
        <v>0</v>
      </c>
      <c r="R97" s="304">
        <v>0</v>
      </c>
      <c r="S97" s="304">
        <v>0</v>
      </c>
      <c r="T97" s="304">
        <v>0</v>
      </c>
      <c r="U97" s="304">
        <v>0</v>
      </c>
      <c r="V97" s="304">
        <v>0</v>
      </c>
      <c r="W97" s="304">
        <v>0</v>
      </c>
      <c r="X97" s="304">
        <v>0</v>
      </c>
      <c r="Y97" s="304">
        <v>0</v>
      </c>
      <c r="Z97" s="304">
        <v>0</v>
      </c>
      <c r="AA97" s="304">
        <v>0</v>
      </c>
      <c r="AB97" s="304">
        <v>0</v>
      </c>
      <c r="AC97" s="304">
        <v>0</v>
      </c>
      <c r="AD97" s="304">
        <v>0</v>
      </c>
      <c r="AE97" s="304">
        <v>0</v>
      </c>
      <c r="AF97" s="304">
        <v>0</v>
      </c>
      <c r="AG97" s="304">
        <v>0</v>
      </c>
      <c r="AH97" s="304">
        <v>0</v>
      </c>
      <c r="AI97" s="304">
        <v>0</v>
      </c>
      <c r="AJ97" s="304">
        <v>0</v>
      </c>
      <c r="AK97" s="304">
        <v>0</v>
      </c>
      <c r="AL97" s="304">
        <v>0</v>
      </c>
      <c r="AM97" s="304">
        <v>0</v>
      </c>
      <c r="AN97" s="304">
        <v>0</v>
      </c>
      <c r="AO97" s="304">
        <v>0</v>
      </c>
      <c r="AP97" s="163"/>
      <c r="AQ97" s="165"/>
    </row>
    <row r="98" spans="1:43" s="294" customFormat="1" ht="15.75" x14ac:dyDescent="0.25">
      <c r="A98" s="47" t="s">
        <v>326</v>
      </c>
      <c r="B98" s="301">
        <v>89739.195990000007</v>
      </c>
      <c r="C98" s="301">
        <f>'[3]BANCO DE DADOS'!$B$740</f>
        <v>87628.251230000009</v>
      </c>
      <c r="D98" s="301">
        <v>86878.968890000004</v>
      </c>
      <c r="E98" s="301">
        <v>87420.36258999999</v>
      </c>
      <c r="F98" s="301">
        <v>86030.240210000004</v>
      </c>
      <c r="G98" s="301">
        <v>85542.331050000008</v>
      </c>
      <c r="H98" s="301">
        <v>85242.410150000011</v>
      </c>
      <c r="I98" s="301">
        <v>84019.04041999999</v>
      </c>
      <c r="J98" s="302">
        <v>83267.61559999999</v>
      </c>
      <c r="K98" s="302">
        <v>82675.849689185226</v>
      </c>
      <c r="L98" s="302">
        <v>81448.336039999995</v>
      </c>
      <c r="M98" s="302">
        <v>80873</v>
      </c>
      <c r="N98" s="302">
        <v>0</v>
      </c>
      <c r="O98" s="302">
        <v>0</v>
      </c>
      <c r="P98" s="302">
        <v>0</v>
      </c>
      <c r="Q98" s="302">
        <v>0</v>
      </c>
      <c r="R98" s="302">
        <v>0</v>
      </c>
      <c r="S98" s="302">
        <v>0</v>
      </c>
      <c r="T98" s="302">
        <v>0</v>
      </c>
      <c r="U98" s="302">
        <v>0</v>
      </c>
      <c r="V98" s="302">
        <v>0</v>
      </c>
      <c r="W98" s="302">
        <v>0</v>
      </c>
      <c r="X98" s="302">
        <v>0</v>
      </c>
      <c r="Y98" s="302">
        <v>0</v>
      </c>
      <c r="Z98" s="302">
        <v>0</v>
      </c>
      <c r="AA98" s="302">
        <v>0</v>
      </c>
      <c r="AB98" s="302">
        <v>0</v>
      </c>
      <c r="AC98" s="302">
        <v>0</v>
      </c>
      <c r="AD98" s="302">
        <v>0</v>
      </c>
      <c r="AE98" s="302">
        <v>0</v>
      </c>
      <c r="AF98" s="302">
        <v>0</v>
      </c>
      <c r="AG98" s="302">
        <v>0</v>
      </c>
      <c r="AH98" s="302">
        <v>0</v>
      </c>
      <c r="AI98" s="302">
        <v>0</v>
      </c>
      <c r="AJ98" s="302">
        <v>0</v>
      </c>
      <c r="AK98" s="302">
        <v>0</v>
      </c>
      <c r="AL98" s="302">
        <v>0</v>
      </c>
      <c r="AM98" s="302">
        <v>0</v>
      </c>
      <c r="AN98" s="302">
        <v>0</v>
      </c>
      <c r="AO98" s="302">
        <v>0</v>
      </c>
      <c r="AP98" s="163"/>
      <c r="AQ98" s="163"/>
    </row>
    <row r="99" spans="1:43" s="294" customFormat="1" ht="15.75" x14ac:dyDescent="0.25">
      <c r="A99" s="19" t="s">
        <v>36</v>
      </c>
      <c r="B99" s="303"/>
      <c r="C99" s="303"/>
      <c r="D99" s="303"/>
      <c r="E99" s="303"/>
      <c r="F99" s="303"/>
      <c r="G99" s="303"/>
      <c r="H99" s="303"/>
      <c r="I99" s="303">
        <v>0</v>
      </c>
      <c r="J99" s="304">
        <v>0</v>
      </c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163"/>
      <c r="AQ99" s="165"/>
    </row>
    <row r="100" spans="1:43" s="294" customFormat="1" ht="15.75" x14ac:dyDescent="0.25">
      <c r="A100" s="47" t="s">
        <v>37</v>
      </c>
      <c r="B100" s="301">
        <v>0</v>
      </c>
      <c r="C100" s="301">
        <v>0</v>
      </c>
      <c r="D100" s="301">
        <v>92600</v>
      </c>
      <c r="E100" s="301">
        <v>92600</v>
      </c>
      <c r="F100" s="301">
        <v>92600</v>
      </c>
      <c r="G100" s="301">
        <v>92600</v>
      </c>
      <c r="H100" s="301">
        <v>92600</v>
      </c>
      <c r="I100" s="301">
        <v>92600</v>
      </c>
      <c r="J100" s="302">
        <v>92600</v>
      </c>
      <c r="K100" s="302">
        <v>92600</v>
      </c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163"/>
      <c r="AQ100" s="163"/>
    </row>
    <row r="101" spans="1:43" s="294" customFormat="1" ht="15.75" x14ac:dyDescent="0.25">
      <c r="A101" s="20" t="s">
        <v>38</v>
      </c>
      <c r="B101" s="303">
        <v>540000</v>
      </c>
      <c r="C101" s="303">
        <f>'[3]BANCO DE DADOS'!$B$743</f>
        <v>540000</v>
      </c>
      <c r="D101" s="303">
        <v>540000</v>
      </c>
      <c r="E101" s="303">
        <v>540000</v>
      </c>
      <c r="F101" s="303">
        <v>540000</v>
      </c>
      <c r="G101" s="303">
        <v>540000</v>
      </c>
      <c r="H101" s="303">
        <v>540000</v>
      </c>
      <c r="I101" s="303">
        <v>540000</v>
      </c>
      <c r="J101" s="304">
        <v>540000</v>
      </c>
      <c r="K101" s="304">
        <v>540000</v>
      </c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163"/>
      <c r="AQ101" s="165"/>
    </row>
    <row r="102" spans="1:43" s="294" customFormat="1" ht="15.75" x14ac:dyDescent="0.25">
      <c r="A102" s="47" t="s">
        <v>39</v>
      </c>
      <c r="B102" s="301">
        <v>73218.660660000009</v>
      </c>
      <c r="C102" s="301">
        <f>'[3]BANCO DE DADOS'!$B$744</f>
        <v>71496.330230000007</v>
      </c>
      <c r="D102" s="301">
        <v>70884.987009999997</v>
      </c>
      <c r="E102" s="301">
        <v>71326.712850000011</v>
      </c>
      <c r="F102" s="301">
        <v>70192.505010000008</v>
      </c>
      <c r="G102" s="301">
        <v>69794.417950000003</v>
      </c>
      <c r="H102" s="301">
        <v>69661.916249999995</v>
      </c>
      <c r="I102" s="301">
        <v>68662.220290000012</v>
      </c>
      <c r="J102" s="302">
        <v>68048.139900000009</v>
      </c>
      <c r="K102" s="302">
        <v>67562.122614979118</v>
      </c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163"/>
      <c r="AQ102" s="163"/>
    </row>
    <row r="103" spans="1:43" s="294" customFormat="1" ht="15.75" x14ac:dyDescent="0.25">
      <c r="A103" s="19" t="s">
        <v>296</v>
      </c>
      <c r="B103" s="303"/>
      <c r="C103" s="303"/>
      <c r="D103" s="303"/>
      <c r="E103" s="303"/>
      <c r="F103" s="303"/>
      <c r="G103" s="303"/>
      <c r="H103" s="303"/>
      <c r="I103" s="303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163"/>
      <c r="AQ103" s="165"/>
    </row>
    <row r="104" spans="1:43" s="294" customFormat="1" ht="15.75" x14ac:dyDescent="0.25">
      <c r="A104" s="47" t="s">
        <v>37</v>
      </c>
      <c r="B104" s="301">
        <v>47120.976210000001</v>
      </c>
      <c r="C104" s="301">
        <f>'[3]BANCO DE DADOS'!$B$746</f>
        <v>51810.5</v>
      </c>
      <c r="D104" s="301">
        <v>56500</v>
      </c>
      <c r="E104" s="301">
        <v>56500</v>
      </c>
      <c r="F104" s="301">
        <v>56500</v>
      </c>
      <c r="G104" s="301">
        <v>56500</v>
      </c>
      <c r="H104" s="301">
        <v>56500</v>
      </c>
      <c r="I104" s="301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163"/>
      <c r="AQ104" s="163"/>
    </row>
    <row r="105" spans="1:43" s="294" customFormat="1" ht="15.75" x14ac:dyDescent="0.25">
      <c r="A105" s="20" t="s">
        <v>38</v>
      </c>
      <c r="B105" s="303">
        <v>149950.51112000001</v>
      </c>
      <c r="C105" s="303">
        <f>'[3]BANCO DE DADOS'!$B$747</f>
        <v>146423.20912000001</v>
      </c>
      <c r="D105" s="303">
        <v>145171.18909</v>
      </c>
      <c r="E105" s="303">
        <v>146075.83573999998</v>
      </c>
      <c r="F105" s="303">
        <v>143752.99832000001</v>
      </c>
      <c r="G105" s="303">
        <v>142937.72310999999</v>
      </c>
      <c r="H105" s="303">
        <v>142626.74135</v>
      </c>
      <c r="I105" s="303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163"/>
      <c r="AQ105" s="165"/>
    </row>
    <row r="106" spans="1:43" s="294" customFormat="1" ht="15.75" x14ac:dyDescent="0.25">
      <c r="A106" s="3" t="s">
        <v>444</v>
      </c>
      <c r="B106" s="301"/>
      <c r="C106" s="301"/>
      <c r="D106" s="301"/>
      <c r="E106" s="301"/>
      <c r="F106" s="301"/>
      <c r="G106" s="301"/>
      <c r="H106" s="301"/>
      <c r="I106" s="301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  <c r="AO106" s="302"/>
      <c r="AP106" s="163"/>
      <c r="AQ106" s="163"/>
    </row>
    <row r="107" spans="1:43" s="294" customFormat="1" ht="15.75" x14ac:dyDescent="0.25">
      <c r="A107" s="20" t="s">
        <v>37</v>
      </c>
      <c r="B107" s="303">
        <v>500000</v>
      </c>
      <c r="C107" s="303">
        <v>0</v>
      </c>
      <c r="D107" s="303"/>
      <c r="E107" s="303"/>
      <c r="F107" s="303"/>
      <c r="G107" s="303"/>
      <c r="H107" s="303"/>
      <c r="I107" s="303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163"/>
      <c r="AQ107" s="165"/>
    </row>
    <row r="108" spans="1:43" s="294" customFormat="1" ht="15.75" x14ac:dyDescent="0.25">
      <c r="A108" s="47" t="s">
        <v>40</v>
      </c>
      <c r="B108" s="301">
        <v>0</v>
      </c>
      <c r="C108" s="301">
        <v>0</v>
      </c>
      <c r="D108" s="301">
        <v>0</v>
      </c>
      <c r="E108" s="301">
        <v>0</v>
      </c>
      <c r="F108" s="301"/>
      <c r="G108" s="301">
        <v>0</v>
      </c>
      <c r="H108" s="301">
        <v>0</v>
      </c>
      <c r="I108" s="301">
        <v>0</v>
      </c>
      <c r="J108" s="302">
        <v>0</v>
      </c>
      <c r="K108" s="302">
        <v>2083.16437</v>
      </c>
      <c r="L108" s="302">
        <v>2457.9224199999999</v>
      </c>
      <c r="M108" s="302">
        <v>2835.4</v>
      </c>
      <c r="N108" s="302">
        <v>2908</v>
      </c>
      <c r="O108" s="302">
        <v>1805</v>
      </c>
      <c r="P108" s="302">
        <v>1568</v>
      </c>
      <c r="Q108" s="302">
        <v>1451</v>
      </c>
      <c r="R108" s="302">
        <v>749</v>
      </c>
      <c r="S108" s="302">
        <v>0</v>
      </c>
      <c r="T108" s="302">
        <v>0</v>
      </c>
      <c r="U108" s="302">
        <v>0</v>
      </c>
      <c r="V108" s="302">
        <v>0</v>
      </c>
      <c r="W108" s="302">
        <v>0</v>
      </c>
      <c r="X108" s="302">
        <v>0</v>
      </c>
      <c r="Y108" s="302">
        <v>0</v>
      </c>
      <c r="Z108" s="302">
        <v>0</v>
      </c>
      <c r="AA108" s="302">
        <v>0</v>
      </c>
      <c r="AB108" s="302">
        <v>0</v>
      </c>
      <c r="AC108" s="302">
        <v>0</v>
      </c>
      <c r="AD108" s="302">
        <v>0</v>
      </c>
      <c r="AE108" s="302">
        <v>0</v>
      </c>
      <c r="AF108" s="302">
        <v>0</v>
      </c>
      <c r="AG108" s="302">
        <v>0</v>
      </c>
      <c r="AH108" s="302">
        <v>0</v>
      </c>
      <c r="AI108" s="302">
        <v>0</v>
      </c>
      <c r="AJ108" s="302">
        <v>0</v>
      </c>
      <c r="AK108" s="302">
        <v>0</v>
      </c>
      <c r="AL108" s="302">
        <v>0</v>
      </c>
      <c r="AM108" s="302">
        <v>0</v>
      </c>
      <c r="AN108" s="302">
        <v>0</v>
      </c>
      <c r="AO108" s="302">
        <v>0</v>
      </c>
      <c r="AP108" s="163"/>
      <c r="AQ108" s="163"/>
    </row>
    <row r="109" spans="1:43" s="294" customFormat="1" ht="15.75" x14ac:dyDescent="0.25">
      <c r="A109" s="19" t="s">
        <v>299</v>
      </c>
      <c r="B109" s="303">
        <v>0</v>
      </c>
      <c r="C109" s="303">
        <v>0</v>
      </c>
      <c r="D109" s="303">
        <v>0</v>
      </c>
      <c r="E109" s="303">
        <v>0</v>
      </c>
      <c r="F109" s="303">
        <v>0</v>
      </c>
      <c r="G109" s="303"/>
      <c r="H109" s="303"/>
      <c r="I109" s="303">
        <v>0</v>
      </c>
      <c r="J109" s="304">
        <v>0</v>
      </c>
      <c r="K109" s="304">
        <v>0</v>
      </c>
      <c r="L109" s="304">
        <v>0</v>
      </c>
      <c r="M109" s="304">
        <v>0</v>
      </c>
      <c r="N109" s="304">
        <v>0</v>
      </c>
      <c r="O109" s="304">
        <v>0</v>
      </c>
      <c r="P109" s="304">
        <v>0</v>
      </c>
      <c r="Q109" s="304">
        <v>0</v>
      </c>
      <c r="R109" s="304">
        <v>0</v>
      </c>
      <c r="S109" s="304">
        <v>0</v>
      </c>
      <c r="T109" s="304">
        <v>0</v>
      </c>
      <c r="U109" s="304">
        <v>0</v>
      </c>
      <c r="V109" s="304">
        <v>0</v>
      </c>
      <c r="W109" s="304">
        <v>0</v>
      </c>
      <c r="X109" s="304">
        <v>0</v>
      </c>
      <c r="Y109" s="304">
        <v>0</v>
      </c>
      <c r="Z109" s="304">
        <v>0</v>
      </c>
      <c r="AA109" s="304">
        <v>0</v>
      </c>
      <c r="AB109" s="304">
        <v>0</v>
      </c>
      <c r="AC109" s="304">
        <v>0</v>
      </c>
      <c r="AD109" s="304">
        <v>0</v>
      </c>
      <c r="AE109" s="304">
        <v>0</v>
      </c>
      <c r="AF109" s="304">
        <v>0</v>
      </c>
      <c r="AG109" s="304">
        <v>0</v>
      </c>
      <c r="AH109" s="304">
        <v>0</v>
      </c>
      <c r="AI109" s="304">
        <v>0</v>
      </c>
      <c r="AJ109" s="304">
        <v>0</v>
      </c>
      <c r="AK109" s="304">
        <v>0</v>
      </c>
      <c r="AL109" s="304">
        <v>0</v>
      </c>
      <c r="AM109" s="304">
        <v>0</v>
      </c>
      <c r="AN109" s="304">
        <v>0</v>
      </c>
      <c r="AO109" s="304">
        <v>0</v>
      </c>
      <c r="AP109" s="163"/>
      <c r="AQ109" s="165"/>
    </row>
    <row r="110" spans="1:43" s="294" customFormat="1" ht="15.75" x14ac:dyDescent="0.25">
      <c r="A110" s="47" t="s">
        <v>298</v>
      </c>
      <c r="B110" s="301">
        <v>0</v>
      </c>
      <c r="C110" s="301">
        <v>0</v>
      </c>
      <c r="D110" s="301">
        <v>0</v>
      </c>
      <c r="E110" s="301">
        <v>0</v>
      </c>
      <c r="F110" s="301">
        <v>0</v>
      </c>
      <c r="G110" s="301">
        <v>0</v>
      </c>
      <c r="H110" s="301">
        <v>0</v>
      </c>
      <c r="I110" s="301">
        <v>0</v>
      </c>
      <c r="J110" s="302">
        <v>0</v>
      </c>
      <c r="K110" s="302">
        <v>0</v>
      </c>
      <c r="L110" s="302">
        <v>0</v>
      </c>
      <c r="M110" s="302">
        <v>0</v>
      </c>
      <c r="N110" s="302">
        <v>0</v>
      </c>
      <c r="O110" s="302">
        <v>0</v>
      </c>
      <c r="P110" s="302">
        <v>0</v>
      </c>
      <c r="Q110" s="302">
        <v>0</v>
      </c>
      <c r="R110" s="302">
        <v>0</v>
      </c>
      <c r="S110" s="302">
        <v>0</v>
      </c>
      <c r="T110" s="302">
        <v>0</v>
      </c>
      <c r="U110" s="302">
        <v>0</v>
      </c>
      <c r="V110" s="302">
        <v>0</v>
      </c>
      <c r="W110" s="302">
        <v>0</v>
      </c>
      <c r="X110" s="302">
        <v>0</v>
      </c>
      <c r="Y110" s="302">
        <v>0</v>
      </c>
      <c r="Z110" s="302">
        <v>0</v>
      </c>
      <c r="AA110" s="302">
        <v>0</v>
      </c>
      <c r="AB110" s="302">
        <v>0</v>
      </c>
      <c r="AC110" s="302">
        <v>0</v>
      </c>
      <c r="AD110" s="302">
        <v>0</v>
      </c>
      <c r="AE110" s="302">
        <v>0</v>
      </c>
      <c r="AF110" s="302">
        <v>0</v>
      </c>
      <c r="AG110" s="302">
        <v>0</v>
      </c>
      <c r="AH110" s="302">
        <v>0</v>
      </c>
      <c r="AI110" s="302">
        <v>0</v>
      </c>
      <c r="AJ110" s="302">
        <v>0</v>
      </c>
      <c r="AK110" s="302">
        <v>0</v>
      </c>
      <c r="AL110" s="302">
        <v>0</v>
      </c>
      <c r="AM110" s="302">
        <v>0</v>
      </c>
      <c r="AN110" s="302">
        <v>6101</v>
      </c>
      <c r="AO110" s="302">
        <v>11935</v>
      </c>
      <c r="AP110" s="163"/>
      <c r="AQ110" s="163"/>
    </row>
    <row r="111" spans="1:43" s="294" customFormat="1" ht="15.75" x14ac:dyDescent="0.25">
      <c r="A111" s="19" t="s">
        <v>297</v>
      </c>
      <c r="B111" s="303">
        <v>0</v>
      </c>
      <c r="C111" s="303">
        <f>'[3]BANCO DE DADOS'!$B$751</f>
        <v>828.14013</v>
      </c>
      <c r="D111" s="303">
        <v>2060.2612300000001</v>
      </c>
      <c r="E111" s="303">
        <v>3292.4787900000001</v>
      </c>
      <c r="F111" s="303">
        <v>4440.1329000000005</v>
      </c>
      <c r="G111" s="303">
        <v>10875.82943</v>
      </c>
      <c r="H111" s="303">
        <v>17199.14487</v>
      </c>
      <c r="I111" s="303">
        <v>23090.91865</v>
      </c>
      <c r="J111" s="304">
        <v>28965.0105</v>
      </c>
      <c r="K111" s="304">
        <v>34763.371849999996</v>
      </c>
      <c r="L111" s="304">
        <v>39924.099579999995</v>
      </c>
      <c r="M111" s="304">
        <v>45344.2</v>
      </c>
      <c r="N111" s="304">
        <v>50613</v>
      </c>
      <c r="O111" s="304">
        <v>55855</v>
      </c>
      <c r="P111" s="304">
        <v>61311</v>
      </c>
      <c r="Q111" s="304">
        <v>66187</v>
      </c>
      <c r="R111" s="304">
        <v>70908</v>
      </c>
      <c r="S111" s="304">
        <v>75782</v>
      </c>
      <c r="T111" s="304">
        <v>79600</v>
      </c>
      <c r="U111" s="304">
        <v>82836</v>
      </c>
      <c r="V111" s="304">
        <v>84719</v>
      </c>
      <c r="W111" s="304">
        <v>87378</v>
      </c>
      <c r="X111" s="304">
        <v>90200</v>
      </c>
      <c r="Y111" s="304">
        <v>91501</v>
      </c>
      <c r="Z111" s="304">
        <v>92713</v>
      </c>
      <c r="AA111" s="304">
        <v>95404</v>
      </c>
      <c r="AB111" s="304">
        <v>98601</v>
      </c>
      <c r="AC111" s="304">
        <v>100161</v>
      </c>
      <c r="AD111" s="304">
        <v>101817</v>
      </c>
      <c r="AE111" s="304">
        <v>103983</v>
      </c>
      <c r="AF111" s="304">
        <v>107073</v>
      </c>
      <c r="AG111" s="304">
        <v>109096</v>
      </c>
      <c r="AH111" s="304">
        <v>109685</v>
      </c>
      <c r="AI111" s="304">
        <v>110837</v>
      </c>
      <c r="AJ111" s="304">
        <v>112653</v>
      </c>
      <c r="AK111" s="304">
        <v>114188</v>
      </c>
      <c r="AL111" s="304">
        <v>115492</v>
      </c>
      <c r="AM111" s="304">
        <v>120045</v>
      </c>
      <c r="AN111" s="304">
        <v>122147</v>
      </c>
      <c r="AO111" s="304">
        <v>122809</v>
      </c>
      <c r="AP111" s="163"/>
      <c r="AQ111" s="165"/>
    </row>
    <row r="112" spans="1:43" s="294" customFormat="1" ht="15.75" x14ac:dyDescent="0.25">
      <c r="A112" s="3"/>
      <c r="B112" s="3"/>
      <c r="C112" s="3"/>
      <c r="D112" s="3"/>
      <c r="E112" s="3"/>
      <c r="F112" s="301"/>
      <c r="G112" s="301"/>
      <c r="H112" s="301"/>
      <c r="I112" s="301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2"/>
      <c r="AH112" s="302"/>
      <c r="AI112" s="302"/>
      <c r="AJ112" s="302"/>
      <c r="AK112" s="302"/>
      <c r="AL112" s="302"/>
      <c r="AM112" s="302"/>
      <c r="AN112" s="302"/>
      <c r="AO112" s="302"/>
      <c r="AP112" s="163"/>
      <c r="AQ112" s="163"/>
    </row>
    <row r="113" spans="1:43" s="343" customFormat="1" ht="15.75" x14ac:dyDescent="0.25">
      <c r="A113" s="170" t="s">
        <v>365</v>
      </c>
      <c r="B113" s="305">
        <f>SUM(B66:B112)</f>
        <v>2921646.5178999999</v>
      </c>
      <c r="C113" s="305">
        <f>SUM(C66:C112)</f>
        <v>2439052.7943900004</v>
      </c>
      <c r="D113" s="305">
        <f>SUM(D66:D112)</f>
        <v>2664383.2520999997</v>
      </c>
      <c r="E113" s="305">
        <f>SUM(E66:E112)</f>
        <v>2645567.3809000002</v>
      </c>
      <c r="F113" s="305">
        <f>SUM(F66:F112)</f>
        <v>2683235.4638199997</v>
      </c>
      <c r="G113" s="305">
        <f>SUM(G66:G111)</f>
        <v>2719087.0386399999</v>
      </c>
      <c r="H113" s="305">
        <v>2807789.0346639487</v>
      </c>
      <c r="I113" s="305">
        <v>2623561.62703605</v>
      </c>
      <c r="J113" s="127">
        <f>SUM(J66:J112)</f>
        <v>2668448.683548125</v>
      </c>
      <c r="K113" s="127">
        <f>SUM(K66:K112)</f>
        <v>2614081.790251676</v>
      </c>
      <c r="L113" s="127">
        <f>SUM(L66:L112)</f>
        <v>2204864.7757967995</v>
      </c>
      <c r="M113" s="127">
        <f>SUM(M66:M112)</f>
        <v>2440815.0000000005</v>
      </c>
      <c r="N113" s="127">
        <v>2314235</v>
      </c>
      <c r="O113" s="127">
        <v>2378311</v>
      </c>
      <c r="P113" s="127">
        <v>2492470</v>
      </c>
      <c r="Q113" s="127">
        <v>2583212</v>
      </c>
      <c r="R113" s="127">
        <v>2715159</v>
      </c>
      <c r="S113" s="127">
        <v>2774557</v>
      </c>
      <c r="T113" s="127">
        <v>2719064</v>
      </c>
      <c r="U113" s="127">
        <v>2770495</v>
      </c>
      <c r="V113" s="127">
        <v>2822764</v>
      </c>
      <c r="W113" s="127">
        <v>2792006</v>
      </c>
      <c r="X113" s="127">
        <v>2538222</v>
      </c>
      <c r="Y113" s="127">
        <v>2582020</v>
      </c>
      <c r="Z113" s="127">
        <v>2657837</v>
      </c>
      <c r="AA113" s="127">
        <v>2634685</v>
      </c>
      <c r="AB113" s="127">
        <v>2708147</v>
      </c>
      <c r="AC113" s="127">
        <v>2564027</v>
      </c>
      <c r="AD113" s="127">
        <v>2661234</v>
      </c>
      <c r="AE113" s="127">
        <v>2545771</v>
      </c>
      <c r="AF113" s="127">
        <v>2641295</v>
      </c>
      <c r="AG113" s="127">
        <v>2632027</v>
      </c>
      <c r="AH113" s="127">
        <v>2747330</v>
      </c>
      <c r="AI113" s="127">
        <v>2718009</v>
      </c>
      <c r="AJ113" s="127">
        <v>2593592</v>
      </c>
      <c r="AK113" s="127">
        <v>2710221</v>
      </c>
      <c r="AL113" s="127">
        <f>SUM(AL66:AL112)</f>
        <v>2323976</v>
      </c>
      <c r="AM113" s="127">
        <f>SUM(AM66:AM112)</f>
        <v>1985069</v>
      </c>
      <c r="AN113" s="127">
        <f>SUM(AN66:AN112)</f>
        <v>1990251</v>
      </c>
      <c r="AO113" s="127">
        <f>SUM(AO66:AO112)</f>
        <v>1969590.7560000001</v>
      </c>
      <c r="AP113" s="329"/>
      <c r="AQ113" s="170"/>
    </row>
    <row r="114" spans="1:43" s="294" customFormat="1" ht="15.75" x14ac:dyDescent="0.25">
      <c r="A114" s="129"/>
      <c r="B114" s="129"/>
      <c r="C114" s="129"/>
      <c r="D114" s="129"/>
      <c r="E114" s="129"/>
      <c r="F114" s="301"/>
      <c r="G114" s="301"/>
      <c r="H114" s="301"/>
      <c r="I114" s="301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163"/>
      <c r="AQ114" s="163"/>
    </row>
    <row r="115" spans="1:43" s="343" customFormat="1" ht="15.75" x14ac:dyDescent="0.25">
      <c r="A115" s="170" t="s">
        <v>366</v>
      </c>
      <c r="B115" s="305">
        <f t="shared" ref="B115:G115" si="1">SUM(B116:B118)</f>
        <v>272007.85161000001</v>
      </c>
      <c r="C115" s="305">
        <f t="shared" si="1"/>
        <v>325445.71944999998</v>
      </c>
      <c r="D115" s="305">
        <f t="shared" si="1"/>
        <v>307517.56102999998</v>
      </c>
      <c r="E115" s="305">
        <f t="shared" si="1"/>
        <v>321416.35523999995</v>
      </c>
      <c r="F115" s="305">
        <f t="shared" si="1"/>
        <v>252066.09009000001</v>
      </c>
      <c r="G115" s="305">
        <f t="shared" si="1"/>
        <v>280922.84805999999</v>
      </c>
      <c r="H115" s="305">
        <v>265532.48645999999</v>
      </c>
      <c r="I115" s="305">
        <v>292217.91301999998</v>
      </c>
      <c r="J115" s="127">
        <f>SUM(J117:J119)</f>
        <v>294165.86079000001</v>
      </c>
      <c r="K115" s="127">
        <f>SUM(K117:K119)</f>
        <v>333540.31741999998</v>
      </c>
      <c r="L115" s="127">
        <f>SUM(L117:L119)</f>
        <v>321838.15581999999</v>
      </c>
      <c r="M115" s="127">
        <f>SUM(M117:M119)</f>
        <v>280244.30000000005</v>
      </c>
      <c r="N115" s="127">
        <v>274185.65918999998</v>
      </c>
      <c r="O115" s="127">
        <v>276528.80497</v>
      </c>
      <c r="P115" s="127">
        <v>271237.94493</v>
      </c>
      <c r="Q115" s="127">
        <v>267237.29219999997</v>
      </c>
      <c r="R115" s="127">
        <v>274274.36261000001</v>
      </c>
      <c r="S115" s="127">
        <v>305153.88968999998</v>
      </c>
      <c r="T115" s="127">
        <v>294946.03313999996</v>
      </c>
      <c r="U115" s="127">
        <v>342176.97777</v>
      </c>
      <c r="V115" s="127">
        <v>362457.58004999999</v>
      </c>
      <c r="W115" s="127">
        <v>394183.05413</v>
      </c>
      <c r="X115" s="127">
        <v>301542.61090000003</v>
      </c>
      <c r="Y115" s="127">
        <v>314147.00169480487</v>
      </c>
      <c r="Z115" s="127">
        <v>261773</v>
      </c>
      <c r="AA115" s="127">
        <v>192497</v>
      </c>
      <c r="AB115" s="127">
        <v>172686.58000000002</v>
      </c>
      <c r="AC115" s="127">
        <v>168655</v>
      </c>
      <c r="AD115" s="127">
        <v>125324</v>
      </c>
      <c r="AE115" s="127">
        <v>108811</v>
      </c>
      <c r="AF115" s="127">
        <v>90692</v>
      </c>
      <c r="AG115" s="127">
        <v>76567</v>
      </c>
      <c r="AH115" s="127">
        <v>58728</v>
      </c>
      <c r="AI115" s="127">
        <v>56626</v>
      </c>
      <c r="AJ115" s="127">
        <v>53820</v>
      </c>
      <c r="AK115" s="127">
        <v>49281</v>
      </c>
      <c r="AL115" s="127">
        <v>51031</v>
      </c>
      <c r="AM115" s="127">
        <v>51593</v>
      </c>
      <c r="AN115" s="127">
        <v>43870</v>
      </c>
      <c r="AO115" s="127">
        <v>47656</v>
      </c>
      <c r="AP115" s="329"/>
      <c r="AQ115" s="170"/>
    </row>
    <row r="116" spans="1:43" s="294" customFormat="1" ht="15.75" x14ac:dyDescent="0.25">
      <c r="A116" s="128"/>
      <c r="B116" s="128"/>
      <c r="C116" s="128"/>
      <c r="D116" s="128"/>
      <c r="E116" s="128"/>
      <c r="F116" s="303"/>
      <c r="G116" s="303"/>
      <c r="H116" s="303"/>
      <c r="I116" s="303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163"/>
      <c r="AQ116" s="162"/>
    </row>
    <row r="117" spans="1:43" s="294" customFormat="1" ht="15.75" x14ac:dyDescent="0.25">
      <c r="A117" s="3" t="s">
        <v>428</v>
      </c>
      <c r="B117" s="301">
        <v>130265.40195999999</v>
      </c>
      <c r="C117" s="301">
        <f>'[3]BANCO DE DADOS'!$B$755</f>
        <v>141731.02338</v>
      </c>
      <c r="D117" s="301">
        <v>136562.21896999999</v>
      </c>
      <c r="E117" s="301">
        <v>130521.08481999999</v>
      </c>
      <c r="F117" s="301">
        <v>101037.34209000001</v>
      </c>
      <c r="G117" s="301">
        <v>104255.93806</v>
      </c>
      <c r="H117" s="301">
        <v>96013.925989999989</v>
      </c>
      <c r="I117" s="301">
        <v>97713.464980000004</v>
      </c>
      <c r="J117" s="302">
        <v>96861.18879</v>
      </c>
      <c r="K117" s="302">
        <v>100796.69941999999</v>
      </c>
      <c r="L117" s="302">
        <v>96655.639819999997</v>
      </c>
      <c r="M117" s="302">
        <v>83342.600000000006</v>
      </c>
      <c r="N117" s="302">
        <v>82921.459719999999</v>
      </c>
      <c r="O117" s="302">
        <v>79537.42190999999</v>
      </c>
      <c r="P117" s="302">
        <v>82776.071430000011</v>
      </c>
      <c r="Q117" s="302">
        <v>79319.339469999992</v>
      </c>
      <c r="R117" s="302">
        <v>81695.686029999997</v>
      </c>
      <c r="S117" s="302">
        <v>81201.867169999998</v>
      </c>
      <c r="T117" s="302">
        <v>80858.45</v>
      </c>
      <c r="U117" s="302">
        <v>89832.416920000003</v>
      </c>
      <c r="V117" s="302">
        <v>97881.413520000002</v>
      </c>
      <c r="W117" s="302">
        <v>99831.621969999993</v>
      </c>
      <c r="X117" s="302">
        <v>77544.599650000004</v>
      </c>
      <c r="Y117" s="302">
        <v>80908.583900000012</v>
      </c>
      <c r="Z117" s="302">
        <v>66583</v>
      </c>
      <c r="AA117" s="302">
        <v>61507</v>
      </c>
      <c r="AB117" s="302">
        <v>55137.26</v>
      </c>
      <c r="AC117" s="302">
        <v>57012</v>
      </c>
      <c r="AD117" s="302">
        <v>59654</v>
      </c>
      <c r="AE117" s="302">
        <v>56142</v>
      </c>
      <c r="AF117" s="302">
        <v>55694</v>
      </c>
      <c r="AG117" s="302">
        <v>51615</v>
      </c>
      <c r="AH117" s="302">
        <v>52507</v>
      </c>
      <c r="AI117" s="302">
        <v>53441</v>
      </c>
      <c r="AJ117" s="302">
        <v>53820</v>
      </c>
      <c r="AK117" s="302">
        <v>49281</v>
      </c>
      <c r="AL117" s="302">
        <v>51031</v>
      </c>
      <c r="AM117" s="302">
        <v>51593</v>
      </c>
      <c r="AN117" s="302">
        <v>43870</v>
      </c>
      <c r="AO117" s="302">
        <v>47656</v>
      </c>
      <c r="AP117" s="163"/>
      <c r="AQ117" s="163"/>
    </row>
    <row r="118" spans="1:43" s="294" customFormat="1" ht="15.75" x14ac:dyDescent="0.25">
      <c r="A118" s="19" t="s">
        <v>41</v>
      </c>
      <c r="B118" s="303">
        <v>141742.44965</v>
      </c>
      <c r="C118" s="303">
        <f>'[3]BANCO DE DADOS'!$B$756</f>
        <v>183714.69607000001</v>
      </c>
      <c r="D118" s="303">
        <v>170955.34206</v>
      </c>
      <c r="E118" s="303">
        <v>190895.27041999999</v>
      </c>
      <c r="F118" s="303">
        <v>151028.74799999999</v>
      </c>
      <c r="G118" s="303">
        <v>176666.91</v>
      </c>
      <c r="H118" s="303">
        <v>169518.56047</v>
      </c>
      <c r="I118" s="303">
        <v>194504.44803999999</v>
      </c>
      <c r="J118" s="304">
        <v>197304.67199999999</v>
      </c>
      <c r="K118" s="304">
        <v>232743.61799999999</v>
      </c>
      <c r="L118" s="304">
        <v>225182.516</v>
      </c>
      <c r="M118" s="304">
        <v>196901.7</v>
      </c>
      <c r="N118" s="304">
        <v>191264.19946999999</v>
      </c>
      <c r="O118" s="304">
        <v>196991.38305999999</v>
      </c>
      <c r="P118" s="304">
        <v>188461.87349999999</v>
      </c>
      <c r="Q118" s="304">
        <v>187917.95272999999</v>
      </c>
      <c r="R118" s="304">
        <v>192578.67658</v>
      </c>
      <c r="S118" s="304">
        <v>223952.02252</v>
      </c>
      <c r="T118" s="304">
        <v>214087.58313999997</v>
      </c>
      <c r="U118" s="304">
        <v>252344.56084999998</v>
      </c>
      <c r="V118" s="304">
        <v>264576.16652999999</v>
      </c>
      <c r="W118" s="304">
        <v>294351.43216000003</v>
      </c>
      <c r="X118" s="304">
        <v>223998.01125000001</v>
      </c>
      <c r="Y118" s="304">
        <v>233238.41779480487</v>
      </c>
      <c r="Z118" s="304">
        <v>195190</v>
      </c>
      <c r="AA118" s="304">
        <v>130990</v>
      </c>
      <c r="AB118" s="304">
        <v>117549.32</v>
      </c>
      <c r="AC118" s="304">
        <v>111643</v>
      </c>
      <c r="AD118" s="304">
        <v>65670</v>
      </c>
      <c r="AE118" s="304">
        <v>52669</v>
      </c>
      <c r="AF118" s="304">
        <v>34998</v>
      </c>
      <c r="AG118" s="304">
        <v>24952</v>
      </c>
      <c r="AH118" s="304">
        <v>6221</v>
      </c>
      <c r="AI118" s="304">
        <v>3185</v>
      </c>
      <c r="AJ118" s="304">
        <v>0</v>
      </c>
      <c r="AK118" s="304">
        <v>0</v>
      </c>
      <c r="AL118" s="304">
        <v>0</v>
      </c>
      <c r="AM118" s="304">
        <v>0</v>
      </c>
      <c r="AN118" s="304">
        <v>0</v>
      </c>
      <c r="AO118" s="304">
        <v>0</v>
      </c>
      <c r="AP118" s="163"/>
      <c r="AQ118" s="165"/>
    </row>
    <row r="119" spans="1:43" s="294" customFormat="1" ht="15.75" x14ac:dyDescent="0.25">
      <c r="A119" s="129"/>
      <c r="B119" s="129"/>
      <c r="C119" s="129"/>
      <c r="D119" s="129"/>
      <c r="E119" s="129"/>
      <c r="F119" s="301"/>
      <c r="G119" s="301"/>
      <c r="H119" s="301"/>
      <c r="I119" s="301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302"/>
      <c r="AH119" s="302"/>
      <c r="AI119" s="302"/>
      <c r="AJ119" s="302"/>
      <c r="AK119" s="302"/>
      <c r="AL119" s="302"/>
      <c r="AM119" s="302"/>
      <c r="AN119" s="302"/>
      <c r="AO119" s="302"/>
      <c r="AP119" s="163"/>
      <c r="AQ119" s="163"/>
    </row>
    <row r="120" spans="1:43" s="292" customFormat="1" ht="15.75" x14ac:dyDescent="0.25">
      <c r="A120" s="143" t="s">
        <v>300</v>
      </c>
      <c r="B120" s="305">
        <f t="shared" ref="B120:G120" si="2">B113+B115</f>
        <v>3193654.3695099996</v>
      </c>
      <c r="C120" s="305">
        <f t="shared" si="2"/>
        <v>2764498.5138400001</v>
      </c>
      <c r="D120" s="305">
        <f t="shared" si="2"/>
        <v>2971900.8131299997</v>
      </c>
      <c r="E120" s="305">
        <f t="shared" si="2"/>
        <v>2966983.7361400002</v>
      </c>
      <c r="F120" s="305">
        <f t="shared" si="2"/>
        <v>2935301.5539099998</v>
      </c>
      <c r="G120" s="305">
        <f t="shared" si="2"/>
        <v>3000009.8866999997</v>
      </c>
      <c r="H120" s="305">
        <v>3073321.5211239485</v>
      </c>
      <c r="I120" s="305">
        <v>2915779.5400560498</v>
      </c>
      <c r="J120" s="127">
        <f>J113+J115</f>
        <v>2962614.5443381248</v>
      </c>
      <c r="K120" s="127">
        <f>K113+K115</f>
        <v>2947622.1076716762</v>
      </c>
      <c r="L120" s="127">
        <f>L113+L115</f>
        <v>2526702.9316167994</v>
      </c>
      <c r="M120" s="127">
        <f>M113+M115</f>
        <v>2721059.3000000007</v>
      </c>
      <c r="N120" s="127">
        <v>2588420.65919</v>
      </c>
      <c r="O120" s="127">
        <v>2654839.8049699999</v>
      </c>
      <c r="P120" s="127">
        <v>2763707.9449300002</v>
      </c>
      <c r="Q120" s="127">
        <v>2850449.2922</v>
      </c>
      <c r="R120" s="127">
        <v>2989433.3626100002</v>
      </c>
      <c r="S120" s="127">
        <v>3079710.8896900001</v>
      </c>
      <c r="T120" s="127">
        <v>3014010.03314</v>
      </c>
      <c r="U120" s="127">
        <v>3112671.9777699998</v>
      </c>
      <c r="V120" s="127">
        <v>3185221.58005</v>
      </c>
      <c r="W120" s="127">
        <v>3186189.0541300001</v>
      </c>
      <c r="X120" s="127">
        <v>2839764.6109000002</v>
      </c>
      <c r="Y120" s="127">
        <v>2896167.001694805</v>
      </c>
      <c r="Z120" s="127">
        <v>2919610</v>
      </c>
      <c r="AA120" s="127">
        <v>2827182</v>
      </c>
      <c r="AB120" s="127">
        <v>2880833.58</v>
      </c>
      <c r="AC120" s="127">
        <v>2732682</v>
      </c>
      <c r="AD120" s="127">
        <v>2786558</v>
      </c>
      <c r="AE120" s="127">
        <v>2654582</v>
      </c>
      <c r="AF120" s="127">
        <v>2731987</v>
      </c>
      <c r="AG120" s="127">
        <v>2708594</v>
      </c>
      <c r="AH120" s="127">
        <v>2806058</v>
      </c>
      <c r="AI120" s="127">
        <v>2774635</v>
      </c>
      <c r="AJ120" s="127">
        <v>2647412</v>
      </c>
      <c r="AK120" s="127">
        <v>2759502</v>
      </c>
      <c r="AL120" s="127">
        <f>AL115+AL113</f>
        <v>2375007</v>
      </c>
      <c r="AM120" s="127">
        <f>AM115+AM113</f>
        <v>2036662</v>
      </c>
      <c r="AN120" s="127">
        <f>AN115+AN113</f>
        <v>2034121</v>
      </c>
      <c r="AO120" s="127">
        <f>AO115+AO113</f>
        <v>2017246.7560000001</v>
      </c>
      <c r="AP120" s="326"/>
      <c r="AQ120" s="121"/>
    </row>
    <row r="121" spans="1:43" s="294" customFormat="1" ht="15.75" x14ac:dyDescent="0.25">
      <c r="A121" s="129"/>
      <c r="B121" s="129"/>
      <c r="C121" s="129"/>
      <c r="D121" s="129"/>
      <c r="E121" s="129"/>
      <c r="F121" s="301"/>
      <c r="G121" s="301"/>
      <c r="H121" s="301"/>
      <c r="I121" s="301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302"/>
      <c r="AL121" s="302"/>
      <c r="AM121" s="302"/>
      <c r="AN121" s="302"/>
      <c r="AO121" s="302"/>
      <c r="AP121" s="163"/>
      <c r="AQ121" s="163"/>
    </row>
    <row r="122" spans="1:43" s="345" customFormat="1" ht="15.75" x14ac:dyDescent="0.25">
      <c r="A122" s="143" t="s">
        <v>367</v>
      </c>
      <c r="B122" s="143"/>
      <c r="C122" s="143"/>
      <c r="D122" s="143"/>
      <c r="E122" s="143"/>
      <c r="F122" s="305"/>
      <c r="G122" s="305"/>
      <c r="H122" s="305"/>
      <c r="I122" s="305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349"/>
      <c r="AQ122" s="143"/>
    </row>
    <row r="123" spans="1:43" s="343" customFormat="1" ht="15.75" x14ac:dyDescent="0.25">
      <c r="A123" s="143" t="s">
        <v>364</v>
      </c>
      <c r="B123" s="143"/>
      <c r="C123" s="143"/>
      <c r="D123" s="143"/>
      <c r="E123" s="143"/>
      <c r="F123" s="305"/>
      <c r="G123" s="305"/>
      <c r="H123" s="305"/>
      <c r="I123" s="305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329"/>
      <c r="AQ123" s="170"/>
    </row>
    <row r="124" spans="1:43" s="294" customFormat="1" ht="15.75" x14ac:dyDescent="0.25">
      <c r="A124" s="129"/>
      <c r="B124" s="129"/>
      <c r="C124" s="129"/>
      <c r="D124" s="129"/>
      <c r="E124" s="129"/>
      <c r="F124" s="301"/>
      <c r="G124" s="301"/>
      <c r="H124" s="301"/>
      <c r="I124" s="301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  <c r="AJ124" s="302"/>
      <c r="AK124" s="302"/>
      <c r="AL124" s="302"/>
      <c r="AM124" s="302"/>
      <c r="AN124" s="302"/>
      <c r="AO124" s="302"/>
      <c r="AP124" s="163"/>
      <c r="AQ124" s="163"/>
    </row>
    <row r="125" spans="1:43" s="294" customFormat="1" ht="15.75" x14ac:dyDescent="0.25">
      <c r="A125" s="19" t="s">
        <v>302</v>
      </c>
      <c r="B125" s="303">
        <f t="shared" ref="B125:C133" si="3">B7+B66</f>
        <v>671075.33269999991</v>
      </c>
      <c r="C125" s="303">
        <f t="shared" si="3"/>
        <v>671519.69868999987</v>
      </c>
      <c r="D125" s="303">
        <v>666030.3001600001</v>
      </c>
      <c r="E125" s="303">
        <f>E7+E66</f>
        <v>666367.24664999999</v>
      </c>
      <c r="F125" s="303">
        <f>F7+F66</f>
        <v>667234.61163000006</v>
      </c>
      <c r="G125" s="303">
        <v>663051.37163000007</v>
      </c>
      <c r="H125" s="303">
        <v>658997.80223999999</v>
      </c>
      <c r="I125" s="303">
        <v>651702.47357000003</v>
      </c>
      <c r="J125" s="304">
        <v>649396.88869000005</v>
      </c>
      <c r="K125" s="304">
        <v>635240.07165000006</v>
      </c>
      <c r="L125" s="304">
        <v>636761.8894300001</v>
      </c>
      <c r="M125" s="304">
        <v>626345.79999999993</v>
      </c>
      <c r="N125" s="304">
        <v>615619</v>
      </c>
      <c r="O125" s="304">
        <v>594911</v>
      </c>
      <c r="P125" s="304">
        <v>577991</v>
      </c>
      <c r="Q125" s="304">
        <v>553546</v>
      </c>
      <c r="R125" s="304">
        <v>537180</v>
      </c>
      <c r="S125" s="304">
        <v>514199</v>
      </c>
      <c r="T125" s="304">
        <v>493210</v>
      </c>
      <c r="U125" s="304">
        <v>484292</v>
      </c>
      <c r="V125" s="304">
        <v>482997</v>
      </c>
      <c r="W125" s="304">
        <v>482525</v>
      </c>
      <c r="X125" s="304">
        <v>481899</v>
      </c>
      <c r="Y125" s="304">
        <v>487710</v>
      </c>
      <c r="Z125" s="304">
        <v>492831</v>
      </c>
      <c r="AA125" s="304">
        <v>488750</v>
      </c>
      <c r="AB125" s="304">
        <v>491348</v>
      </c>
      <c r="AC125" s="304">
        <v>621649</v>
      </c>
      <c r="AD125" s="304">
        <v>632126</v>
      </c>
      <c r="AE125" s="304">
        <v>626379</v>
      </c>
      <c r="AF125" s="304">
        <v>629367</v>
      </c>
      <c r="AG125" s="304">
        <v>645920</v>
      </c>
      <c r="AH125" s="304">
        <v>662438</v>
      </c>
      <c r="AI125" s="304">
        <v>676303</v>
      </c>
      <c r="AJ125" s="304">
        <v>690654</v>
      </c>
      <c r="AK125" s="304">
        <v>705236</v>
      </c>
      <c r="AL125" s="304">
        <v>721910</v>
      </c>
      <c r="AM125" s="304">
        <v>738844</v>
      </c>
      <c r="AN125" s="304">
        <v>747651</v>
      </c>
      <c r="AO125" s="304">
        <f>AO7+AO66</f>
        <v>750277</v>
      </c>
      <c r="AP125" s="163"/>
      <c r="AQ125" s="165"/>
    </row>
    <row r="126" spans="1:43" s="294" customFormat="1" ht="15.75" x14ac:dyDescent="0.25">
      <c r="A126" s="3" t="s">
        <v>330</v>
      </c>
      <c r="B126" s="301">
        <f t="shared" si="3"/>
        <v>33733.328169999993</v>
      </c>
      <c r="C126" s="301">
        <f t="shared" si="3"/>
        <v>37794.563840000003</v>
      </c>
      <c r="D126" s="301">
        <v>41895.764289999999</v>
      </c>
      <c r="E126" s="301">
        <f>E8+E67</f>
        <v>45996.964820000001</v>
      </c>
      <c r="F126" s="301">
        <f>F8+F67</f>
        <v>50098.165349999996</v>
      </c>
      <c r="G126" s="301">
        <v>54193.585160000002</v>
      </c>
      <c r="H126" s="301">
        <v>58288.161689999994</v>
      </c>
      <c r="I126" s="301">
        <v>62408.39256</v>
      </c>
      <c r="J126" s="302">
        <v>66569.330459999997</v>
      </c>
      <c r="K126" s="302">
        <v>71107.603060000009</v>
      </c>
      <c r="L126" s="302">
        <v>76118.50046000001</v>
      </c>
      <c r="M126" s="302">
        <v>81122.899999999994</v>
      </c>
      <c r="N126" s="302">
        <v>86119</v>
      </c>
      <c r="O126" s="302">
        <v>91106</v>
      </c>
      <c r="P126" s="302">
        <v>96092</v>
      </c>
      <c r="Q126" s="302">
        <v>101108</v>
      </c>
      <c r="R126" s="302">
        <v>106048</v>
      </c>
      <c r="S126" s="302">
        <v>110324</v>
      </c>
      <c r="T126" s="302">
        <v>114563</v>
      </c>
      <c r="U126" s="302">
        <v>118815</v>
      </c>
      <c r="V126" s="302">
        <v>122978</v>
      </c>
      <c r="W126" s="302">
        <v>126636</v>
      </c>
      <c r="X126" s="302">
        <v>129799</v>
      </c>
      <c r="Y126" s="302">
        <v>132688</v>
      </c>
      <c r="Z126" s="302">
        <v>109568</v>
      </c>
      <c r="AA126" s="302">
        <v>99934</v>
      </c>
      <c r="AB126" s="302">
        <v>101058</v>
      </c>
      <c r="AC126" s="302">
        <v>90371</v>
      </c>
      <c r="AD126" s="302">
        <v>77023</v>
      </c>
      <c r="AE126" s="302">
        <v>64122</v>
      </c>
      <c r="AF126" s="302">
        <v>55764</v>
      </c>
      <c r="AG126" s="302">
        <v>21680</v>
      </c>
      <c r="AH126" s="302">
        <v>14050</v>
      </c>
      <c r="AI126" s="302">
        <v>0</v>
      </c>
      <c r="AJ126" s="302">
        <v>0</v>
      </c>
      <c r="AK126" s="302">
        <v>0</v>
      </c>
      <c r="AL126" s="302">
        <v>0</v>
      </c>
      <c r="AM126" s="302">
        <v>0</v>
      </c>
      <c r="AN126" s="302">
        <v>0</v>
      </c>
      <c r="AO126" s="302">
        <f t="shared" ref="AO126:AO170" si="4">AO8+AO67</f>
        <v>0</v>
      </c>
      <c r="AP126" s="163"/>
      <c r="AQ126" s="163"/>
    </row>
    <row r="127" spans="1:43" s="294" customFormat="1" ht="15.75" x14ac:dyDescent="0.25">
      <c r="A127" s="19" t="s">
        <v>306</v>
      </c>
      <c r="B127" s="303">
        <f t="shared" si="3"/>
        <v>0</v>
      </c>
      <c r="C127" s="303">
        <f t="shared" si="3"/>
        <v>0</v>
      </c>
      <c r="D127" s="303">
        <v>0</v>
      </c>
      <c r="E127" s="303">
        <v>0</v>
      </c>
      <c r="F127" s="303">
        <v>0</v>
      </c>
      <c r="G127" s="303">
        <v>0</v>
      </c>
      <c r="H127" s="303">
        <v>0</v>
      </c>
      <c r="I127" s="303">
        <v>0</v>
      </c>
      <c r="J127" s="304">
        <v>0</v>
      </c>
      <c r="K127" s="304">
        <v>0</v>
      </c>
      <c r="L127" s="304">
        <v>0</v>
      </c>
      <c r="M127" s="304">
        <v>0</v>
      </c>
      <c r="N127" s="304">
        <v>0</v>
      </c>
      <c r="O127" s="304">
        <v>0</v>
      </c>
      <c r="P127" s="304">
        <v>0</v>
      </c>
      <c r="Q127" s="304">
        <v>0</v>
      </c>
      <c r="R127" s="304">
        <v>0</v>
      </c>
      <c r="S127" s="304">
        <v>0</v>
      </c>
      <c r="T127" s="304">
        <v>0</v>
      </c>
      <c r="U127" s="304">
        <v>0</v>
      </c>
      <c r="V127" s="304">
        <v>0</v>
      </c>
      <c r="W127" s="304">
        <v>0</v>
      </c>
      <c r="X127" s="304">
        <v>0</v>
      </c>
      <c r="Y127" s="304">
        <v>0</v>
      </c>
      <c r="Z127" s="304">
        <v>540</v>
      </c>
      <c r="AA127" s="304">
        <v>1635</v>
      </c>
      <c r="AB127" s="304">
        <v>2912</v>
      </c>
      <c r="AC127" s="304">
        <v>3254</v>
      </c>
      <c r="AD127" s="304">
        <v>4079</v>
      </c>
      <c r="AE127" s="304">
        <v>6639</v>
      </c>
      <c r="AF127" s="304">
        <v>7700</v>
      </c>
      <c r="AG127" s="304">
        <v>7874</v>
      </c>
      <c r="AH127" s="304">
        <v>8655</v>
      </c>
      <c r="AI127" s="304">
        <v>11208</v>
      </c>
      <c r="AJ127" s="304">
        <v>11910</v>
      </c>
      <c r="AK127" s="304">
        <v>11793</v>
      </c>
      <c r="AL127" s="304">
        <v>12473</v>
      </c>
      <c r="AM127" s="304">
        <v>14866</v>
      </c>
      <c r="AN127" s="304">
        <v>15765</v>
      </c>
      <c r="AO127" s="304">
        <f t="shared" si="4"/>
        <v>15760</v>
      </c>
      <c r="AP127" s="163"/>
      <c r="AQ127" s="165"/>
    </row>
    <row r="128" spans="1:43" s="294" customFormat="1" ht="15.75" x14ac:dyDescent="0.25">
      <c r="A128" s="3" t="s">
        <v>307</v>
      </c>
      <c r="B128" s="301">
        <f t="shared" si="3"/>
        <v>0</v>
      </c>
      <c r="C128" s="301">
        <f t="shared" si="3"/>
        <v>0</v>
      </c>
      <c r="D128" s="301">
        <v>0</v>
      </c>
      <c r="E128" s="301">
        <v>0</v>
      </c>
      <c r="F128" s="301">
        <v>0</v>
      </c>
      <c r="G128" s="301">
        <v>0</v>
      </c>
      <c r="H128" s="301">
        <v>0</v>
      </c>
      <c r="I128" s="301">
        <v>0</v>
      </c>
      <c r="J128" s="302">
        <v>0</v>
      </c>
      <c r="K128" s="302">
        <v>0</v>
      </c>
      <c r="L128" s="302">
        <v>0</v>
      </c>
      <c r="M128" s="302">
        <v>0</v>
      </c>
      <c r="N128" s="302">
        <v>0</v>
      </c>
      <c r="O128" s="302">
        <v>0</v>
      </c>
      <c r="P128" s="302">
        <v>0</v>
      </c>
      <c r="Q128" s="302">
        <v>0</v>
      </c>
      <c r="R128" s="302">
        <v>0</v>
      </c>
      <c r="S128" s="302">
        <v>0</v>
      </c>
      <c r="T128" s="302">
        <v>0</v>
      </c>
      <c r="U128" s="302">
        <v>0</v>
      </c>
      <c r="V128" s="302">
        <v>0</v>
      </c>
      <c r="W128" s="302">
        <v>0</v>
      </c>
      <c r="X128" s="302">
        <v>0</v>
      </c>
      <c r="Y128" s="302">
        <v>0</v>
      </c>
      <c r="Z128" s="302">
        <v>0</v>
      </c>
      <c r="AA128" s="302">
        <v>0</v>
      </c>
      <c r="AB128" s="302">
        <v>0</v>
      </c>
      <c r="AC128" s="302">
        <v>0</v>
      </c>
      <c r="AD128" s="302">
        <v>3327</v>
      </c>
      <c r="AE128" s="302">
        <v>13218</v>
      </c>
      <c r="AF128" s="302">
        <v>22974</v>
      </c>
      <c r="AG128" s="302">
        <v>32605</v>
      </c>
      <c r="AH128" s="302">
        <v>42112</v>
      </c>
      <c r="AI128" s="302">
        <v>51493</v>
      </c>
      <c r="AJ128" s="302">
        <v>60736</v>
      </c>
      <c r="AK128" s="302">
        <v>69824</v>
      </c>
      <c r="AL128" s="302">
        <v>78681</v>
      </c>
      <c r="AM128" s="302">
        <v>87359</v>
      </c>
      <c r="AN128" s="302">
        <v>95685</v>
      </c>
      <c r="AO128" s="302">
        <f t="shared" si="4"/>
        <v>103955</v>
      </c>
      <c r="AP128" s="163"/>
      <c r="AQ128" s="163"/>
    </row>
    <row r="129" spans="1:43" s="294" customFormat="1" ht="15.75" x14ac:dyDescent="0.25">
      <c r="A129" s="19" t="s">
        <v>308</v>
      </c>
      <c r="B129" s="303">
        <f t="shared" si="3"/>
        <v>0</v>
      </c>
      <c r="C129" s="303">
        <f t="shared" si="3"/>
        <v>0</v>
      </c>
      <c r="D129" s="303">
        <v>0</v>
      </c>
      <c r="E129" s="303">
        <v>0</v>
      </c>
      <c r="F129" s="303">
        <v>0</v>
      </c>
      <c r="G129" s="303">
        <v>0</v>
      </c>
      <c r="H129" s="303">
        <v>0</v>
      </c>
      <c r="I129" s="303">
        <v>0</v>
      </c>
      <c r="J129" s="304">
        <v>0</v>
      </c>
      <c r="K129" s="304">
        <v>0</v>
      </c>
      <c r="L129" s="304">
        <v>0</v>
      </c>
      <c r="M129" s="304">
        <v>0</v>
      </c>
      <c r="N129" s="304">
        <v>0</v>
      </c>
      <c r="O129" s="304">
        <v>0</v>
      </c>
      <c r="P129" s="304">
        <v>0</v>
      </c>
      <c r="Q129" s="304">
        <v>0</v>
      </c>
      <c r="R129" s="304">
        <v>0</v>
      </c>
      <c r="S129" s="304">
        <v>0</v>
      </c>
      <c r="T129" s="304">
        <v>0</v>
      </c>
      <c r="U129" s="304">
        <v>0</v>
      </c>
      <c r="V129" s="304">
        <v>0</v>
      </c>
      <c r="W129" s="304">
        <v>154931</v>
      </c>
      <c r="X129" s="304">
        <v>149465</v>
      </c>
      <c r="Y129" s="304">
        <v>144794</v>
      </c>
      <c r="Z129" s="304">
        <v>140585</v>
      </c>
      <c r="AA129" s="304">
        <v>0</v>
      </c>
      <c r="AB129" s="304">
        <v>0</v>
      </c>
      <c r="AC129" s="304">
        <v>0</v>
      </c>
      <c r="AD129" s="304">
        <v>0</v>
      </c>
      <c r="AE129" s="304">
        <v>0</v>
      </c>
      <c r="AF129" s="304">
        <v>0</v>
      </c>
      <c r="AG129" s="304">
        <v>0</v>
      </c>
      <c r="AH129" s="304">
        <v>0</v>
      </c>
      <c r="AI129" s="304">
        <v>0</v>
      </c>
      <c r="AJ129" s="304">
        <v>163291</v>
      </c>
      <c r="AK129" s="304">
        <v>159785</v>
      </c>
      <c r="AL129" s="304">
        <v>155924</v>
      </c>
      <c r="AM129" s="304">
        <v>148000</v>
      </c>
      <c r="AN129" s="304">
        <v>0</v>
      </c>
      <c r="AO129" s="304">
        <f t="shared" si="4"/>
        <v>0</v>
      </c>
      <c r="AP129" s="163"/>
      <c r="AQ129" s="165"/>
    </row>
    <row r="130" spans="1:43" s="294" customFormat="1" ht="15.75" x14ac:dyDescent="0.25">
      <c r="A130" s="3" t="s">
        <v>309</v>
      </c>
      <c r="B130" s="301">
        <f t="shared" si="3"/>
        <v>228136.91954999999</v>
      </c>
      <c r="C130" s="301">
        <f t="shared" si="3"/>
        <v>248416.29268000001</v>
      </c>
      <c r="D130" s="301">
        <v>244492.34143999999</v>
      </c>
      <c r="E130" s="301">
        <f>E12+E71</f>
        <v>241416.87325999999</v>
      </c>
      <c r="F130" s="301">
        <f>F12+F71</f>
        <v>260364.87291000001</v>
      </c>
      <c r="G130" s="301">
        <v>279761.33527000004</v>
      </c>
      <c r="H130" s="301">
        <v>299091.93296999997</v>
      </c>
      <c r="I130" s="301">
        <v>319040.70376999996</v>
      </c>
      <c r="J130" s="302">
        <v>337475.45166000002</v>
      </c>
      <c r="K130" s="302">
        <v>355974.79371</v>
      </c>
      <c r="L130" s="302">
        <v>346870.70495000004</v>
      </c>
      <c r="M130" s="302">
        <v>364322.19999999995</v>
      </c>
      <c r="N130" s="302">
        <v>381519</v>
      </c>
      <c r="O130" s="302">
        <v>398325</v>
      </c>
      <c r="P130" s="302">
        <v>415036</v>
      </c>
      <c r="Q130" s="302">
        <v>431928</v>
      </c>
      <c r="R130" s="302">
        <v>447787</v>
      </c>
      <c r="S130" s="302">
        <v>463961</v>
      </c>
      <c r="T130" s="302">
        <v>479824</v>
      </c>
      <c r="U130" s="302">
        <v>495682</v>
      </c>
      <c r="V130" s="302">
        <v>511330</v>
      </c>
      <c r="W130" s="302">
        <v>521804</v>
      </c>
      <c r="X130" s="302">
        <v>538342</v>
      </c>
      <c r="Y130" s="302">
        <v>552296</v>
      </c>
      <c r="Z130" s="302">
        <v>559345</v>
      </c>
      <c r="AA130" s="302">
        <v>543231</v>
      </c>
      <c r="AB130" s="302">
        <v>532578</v>
      </c>
      <c r="AC130" s="302">
        <v>531048</v>
      </c>
      <c r="AD130" s="302">
        <v>544841</v>
      </c>
      <c r="AE130" s="302">
        <v>560563</v>
      </c>
      <c r="AF130" s="302">
        <v>575201</v>
      </c>
      <c r="AG130" s="302">
        <v>577872</v>
      </c>
      <c r="AH130" s="302">
        <v>592231</v>
      </c>
      <c r="AI130" s="302">
        <v>591175</v>
      </c>
      <c r="AJ130" s="302">
        <v>592419</v>
      </c>
      <c r="AK130" s="302">
        <v>591040</v>
      </c>
      <c r="AL130" s="302">
        <v>588047</v>
      </c>
      <c r="AM130" s="302">
        <v>536920</v>
      </c>
      <c r="AN130" s="302">
        <v>519519</v>
      </c>
      <c r="AO130" s="302">
        <f t="shared" si="4"/>
        <v>415933</v>
      </c>
      <c r="AP130" s="163"/>
      <c r="AQ130" s="163"/>
    </row>
    <row r="131" spans="1:43" s="294" customFormat="1" ht="15.75" x14ac:dyDescent="0.25">
      <c r="A131" s="19" t="s">
        <v>310</v>
      </c>
      <c r="B131" s="303">
        <f t="shared" si="3"/>
        <v>0</v>
      </c>
      <c r="C131" s="303">
        <f t="shared" si="3"/>
        <v>0</v>
      </c>
      <c r="D131" s="303">
        <v>0</v>
      </c>
      <c r="E131" s="303">
        <v>0</v>
      </c>
      <c r="F131" s="303">
        <v>0</v>
      </c>
      <c r="G131" s="303">
        <v>0</v>
      </c>
      <c r="H131" s="303">
        <v>0</v>
      </c>
      <c r="I131" s="303">
        <v>0</v>
      </c>
      <c r="J131" s="304">
        <v>0</v>
      </c>
      <c r="K131" s="304">
        <v>0</v>
      </c>
      <c r="L131" s="304">
        <v>0</v>
      </c>
      <c r="M131" s="304">
        <v>0</v>
      </c>
      <c r="N131" s="304">
        <v>0</v>
      </c>
      <c r="O131" s="304">
        <v>0</v>
      </c>
      <c r="P131" s="304">
        <v>0</v>
      </c>
      <c r="Q131" s="304">
        <v>0</v>
      </c>
      <c r="R131" s="304">
        <v>0</v>
      </c>
      <c r="S131" s="304">
        <v>0</v>
      </c>
      <c r="T131" s="304">
        <v>0</v>
      </c>
      <c r="U131" s="304">
        <v>0</v>
      </c>
      <c r="V131" s="304">
        <v>0</v>
      </c>
      <c r="W131" s="304">
        <v>0</v>
      </c>
      <c r="X131" s="304">
        <v>0</v>
      </c>
      <c r="Y131" s="304">
        <v>0</v>
      </c>
      <c r="Z131" s="304">
        <v>0</v>
      </c>
      <c r="AA131" s="304">
        <v>0</v>
      </c>
      <c r="AB131" s="304">
        <v>3879</v>
      </c>
      <c r="AC131" s="304">
        <v>15516</v>
      </c>
      <c r="AD131" s="304">
        <v>27091</v>
      </c>
      <c r="AE131" s="304">
        <v>38791</v>
      </c>
      <c r="AF131" s="304">
        <v>50417</v>
      </c>
      <c r="AG131" s="304">
        <v>62094</v>
      </c>
      <c r="AH131" s="304">
        <v>73717</v>
      </c>
      <c r="AI131" s="304">
        <v>85335</v>
      </c>
      <c r="AJ131" s="304">
        <v>97037</v>
      </c>
      <c r="AK131" s="304">
        <v>108709</v>
      </c>
      <c r="AL131" s="304">
        <v>120356</v>
      </c>
      <c r="AM131" s="304">
        <v>131971</v>
      </c>
      <c r="AN131" s="304">
        <v>143615</v>
      </c>
      <c r="AO131" s="304">
        <f t="shared" si="4"/>
        <v>155299</v>
      </c>
      <c r="AP131" s="163"/>
      <c r="AQ131" s="165"/>
    </row>
    <row r="132" spans="1:43" s="294" customFormat="1" ht="15.75" x14ac:dyDescent="0.25">
      <c r="A132" s="3" t="s">
        <v>311</v>
      </c>
      <c r="B132" s="301">
        <f t="shared" si="3"/>
        <v>0</v>
      </c>
      <c r="C132" s="301">
        <f t="shared" si="3"/>
        <v>0</v>
      </c>
      <c r="D132" s="301">
        <v>0</v>
      </c>
      <c r="E132" s="301">
        <v>0</v>
      </c>
      <c r="F132" s="301">
        <v>0</v>
      </c>
      <c r="G132" s="301">
        <v>0</v>
      </c>
      <c r="H132" s="301">
        <v>0</v>
      </c>
      <c r="I132" s="301">
        <v>0</v>
      </c>
      <c r="J132" s="302">
        <v>0</v>
      </c>
      <c r="K132" s="302">
        <v>0</v>
      </c>
      <c r="L132" s="302">
        <v>0</v>
      </c>
      <c r="M132" s="302">
        <v>0</v>
      </c>
      <c r="N132" s="302">
        <v>0</v>
      </c>
      <c r="O132" s="302">
        <v>0</v>
      </c>
      <c r="P132" s="302">
        <v>0</v>
      </c>
      <c r="Q132" s="302">
        <v>0</v>
      </c>
      <c r="R132" s="302">
        <v>0</v>
      </c>
      <c r="S132" s="302">
        <v>0</v>
      </c>
      <c r="T132" s="302">
        <v>0</v>
      </c>
      <c r="U132" s="302">
        <v>0</v>
      </c>
      <c r="V132" s="302">
        <v>0</v>
      </c>
      <c r="W132" s="302">
        <v>0</v>
      </c>
      <c r="X132" s="302">
        <v>0</v>
      </c>
      <c r="Y132" s="302">
        <v>0</v>
      </c>
      <c r="Z132" s="302">
        <v>0</v>
      </c>
      <c r="AA132" s="302">
        <v>0</v>
      </c>
      <c r="AB132" s="302">
        <v>0</v>
      </c>
      <c r="AC132" s="302">
        <v>0</v>
      </c>
      <c r="AD132" s="302">
        <v>0</v>
      </c>
      <c r="AE132" s="302">
        <v>0</v>
      </c>
      <c r="AF132" s="302">
        <v>0</v>
      </c>
      <c r="AG132" s="302">
        <v>7</v>
      </c>
      <c r="AH132" s="302">
        <v>7</v>
      </c>
      <c r="AI132" s="302">
        <v>8</v>
      </c>
      <c r="AJ132" s="302">
        <v>9</v>
      </c>
      <c r="AK132" s="302">
        <v>140800</v>
      </c>
      <c r="AL132" s="302">
        <v>137991</v>
      </c>
      <c r="AM132" s="302">
        <v>140841</v>
      </c>
      <c r="AN132" s="302">
        <v>136000</v>
      </c>
      <c r="AO132" s="302">
        <f t="shared" si="4"/>
        <v>137182.11199999999</v>
      </c>
      <c r="AP132" s="163"/>
      <c r="AQ132" s="163"/>
    </row>
    <row r="133" spans="1:43" s="294" customFormat="1" ht="15.75" x14ac:dyDescent="0.25">
      <c r="A133" s="19" t="s">
        <v>331</v>
      </c>
      <c r="B133" s="303">
        <f t="shared" si="3"/>
        <v>0</v>
      </c>
      <c r="C133" s="303">
        <f t="shared" si="3"/>
        <v>0</v>
      </c>
      <c r="D133" s="303">
        <v>0</v>
      </c>
      <c r="E133" s="303">
        <v>0</v>
      </c>
      <c r="F133" s="303">
        <v>0</v>
      </c>
      <c r="G133" s="303">
        <v>12392.496959999999</v>
      </c>
      <c r="H133" s="303">
        <v>24779.708299999995</v>
      </c>
      <c r="I133" s="303">
        <v>37170.51989000001</v>
      </c>
      <c r="J133" s="304">
        <v>49419.147629999992</v>
      </c>
      <c r="K133" s="304">
        <v>61626.41055595332</v>
      </c>
      <c r="L133" s="304">
        <v>73882.242557849473</v>
      </c>
      <c r="M133" s="304">
        <v>86089.9</v>
      </c>
      <c r="N133" s="304">
        <v>98212</v>
      </c>
      <c r="O133" s="304">
        <v>110164</v>
      </c>
      <c r="P133" s="304">
        <v>122083</v>
      </c>
      <c r="Q133" s="304">
        <v>136416</v>
      </c>
      <c r="R133" s="304">
        <v>145634</v>
      </c>
      <c r="S133" s="304">
        <v>157277</v>
      </c>
      <c r="T133" s="304">
        <v>168768</v>
      </c>
      <c r="U133" s="304">
        <v>180219</v>
      </c>
      <c r="V133" s="304">
        <v>191555</v>
      </c>
      <c r="W133" s="304">
        <v>202994</v>
      </c>
      <c r="X133" s="304">
        <v>214677</v>
      </c>
      <c r="Y133" s="304">
        <v>226560</v>
      </c>
      <c r="Z133" s="304">
        <v>238485</v>
      </c>
      <c r="AA133" s="304">
        <v>250360</v>
      </c>
      <c r="AB133" s="304">
        <v>262230</v>
      </c>
      <c r="AC133" s="304">
        <v>274150</v>
      </c>
      <c r="AD133" s="304">
        <v>285510</v>
      </c>
      <c r="AE133" s="304">
        <v>297989</v>
      </c>
      <c r="AF133" s="304">
        <v>309848</v>
      </c>
      <c r="AG133" s="304">
        <v>321955</v>
      </c>
      <c r="AH133" s="304">
        <v>333808</v>
      </c>
      <c r="AI133" s="304">
        <v>345658</v>
      </c>
      <c r="AJ133" s="304">
        <v>357796</v>
      </c>
      <c r="AK133" s="304">
        <v>369804</v>
      </c>
      <c r="AL133" s="304">
        <v>381733</v>
      </c>
      <c r="AM133" s="304">
        <v>393575</v>
      </c>
      <c r="AN133" s="304">
        <v>405501</v>
      </c>
      <c r="AO133" s="304">
        <f t="shared" si="4"/>
        <v>417521</v>
      </c>
      <c r="AP133" s="163"/>
      <c r="AQ133" s="165"/>
    </row>
    <row r="134" spans="1:43" s="294" customFormat="1" ht="15.75" x14ac:dyDescent="0.25">
      <c r="A134" s="3" t="s">
        <v>313</v>
      </c>
      <c r="B134" s="301"/>
      <c r="C134" s="301"/>
      <c r="D134" s="301"/>
      <c r="E134" s="301"/>
      <c r="F134" s="301"/>
      <c r="G134" s="301">
        <v>0</v>
      </c>
      <c r="H134" s="301">
        <v>0</v>
      </c>
      <c r="I134" s="301">
        <v>0</v>
      </c>
      <c r="J134" s="302">
        <v>0</v>
      </c>
      <c r="K134" s="302">
        <v>0</v>
      </c>
      <c r="L134" s="302">
        <v>0</v>
      </c>
      <c r="M134" s="302">
        <v>0</v>
      </c>
      <c r="N134" s="302">
        <v>0</v>
      </c>
      <c r="O134" s="302">
        <v>0</v>
      </c>
      <c r="P134" s="302">
        <v>0</v>
      </c>
      <c r="Q134" s="302">
        <v>0</v>
      </c>
      <c r="R134" s="302">
        <v>0</v>
      </c>
      <c r="S134" s="302">
        <v>0</v>
      </c>
      <c r="T134" s="302">
        <v>0</v>
      </c>
      <c r="U134" s="302">
        <v>0</v>
      </c>
      <c r="V134" s="302">
        <v>0</v>
      </c>
      <c r="W134" s="302">
        <v>0</v>
      </c>
      <c r="X134" s="302">
        <v>0</v>
      </c>
      <c r="Y134" s="302">
        <v>0</v>
      </c>
      <c r="Z134" s="302">
        <v>0</v>
      </c>
      <c r="AA134" s="302">
        <v>0</v>
      </c>
      <c r="AB134" s="302">
        <v>0</v>
      </c>
      <c r="AC134" s="302">
        <v>0</v>
      </c>
      <c r="AD134" s="302">
        <v>0</v>
      </c>
      <c r="AE134" s="302">
        <v>0</v>
      </c>
      <c r="AF134" s="302">
        <v>0</v>
      </c>
      <c r="AG134" s="302">
        <v>0</v>
      </c>
      <c r="AH134" s="302">
        <v>0</v>
      </c>
      <c r="AI134" s="302">
        <v>0</v>
      </c>
      <c r="AJ134" s="302">
        <v>0</v>
      </c>
      <c r="AK134" s="302">
        <v>0</v>
      </c>
      <c r="AL134" s="302">
        <v>0</v>
      </c>
      <c r="AM134" s="302">
        <v>0</v>
      </c>
      <c r="AN134" s="302">
        <v>0</v>
      </c>
      <c r="AO134" s="302">
        <f t="shared" si="4"/>
        <v>0</v>
      </c>
      <c r="AP134" s="163"/>
      <c r="AQ134" s="163"/>
    </row>
    <row r="135" spans="1:43" s="294" customFormat="1" ht="15.75" x14ac:dyDescent="0.25">
      <c r="A135" s="20" t="s">
        <v>37</v>
      </c>
      <c r="B135" s="303">
        <f t="shared" ref="B135:C138" si="5">B17+B76</f>
        <v>54065.26238</v>
      </c>
      <c r="C135" s="303">
        <f t="shared" si="5"/>
        <v>59451.881909999996</v>
      </c>
      <c r="D135" s="303">
        <v>58508.358500000002</v>
      </c>
      <c r="E135" s="303">
        <f t="shared" ref="E135:F138" si="6">E17+E76</f>
        <v>60041.538560000001</v>
      </c>
      <c r="F135" s="303">
        <f t="shared" si="6"/>
        <v>66480.64936000001</v>
      </c>
      <c r="G135" s="303">
        <v>72916.393929999991</v>
      </c>
      <c r="H135" s="303">
        <v>79333.888080000004</v>
      </c>
      <c r="I135" s="303">
        <v>85764.466230000005</v>
      </c>
      <c r="J135" s="304">
        <v>91943.177670000005</v>
      </c>
      <c r="K135" s="304">
        <v>98081.404966757007</v>
      </c>
      <c r="L135" s="304">
        <v>104379.41075917875</v>
      </c>
      <c r="M135" s="304">
        <v>110634.5</v>
      </c>
      <c r="N135" s="304">
        <v>116810</v>
      </c>
      <c r="O135" s="304">
        <v>122867</v>
      </c>
      <c r="P135" s="304">
        <v>128892</v>
      </c>
      <c r="Q135" s="304">
        <v>134990</v>
      </c>
      <c r="R135" s="304">
        <v>140736</v>
      </c>
      <c r="S135" s="304">
        <v>146572</v>
      </c>
      <c r="T135" s="304">
        <v>152275</v>
      </c>
      <c r="U135" s="304">
        <v>158000</v>
      </c>
      <c r="V135" s="304">
        <v>163657</v>
      </c>
      <c r="W135" s="304">
        <v>169431</v>
      </c>
      <c r="X135" s="304">
        <v>175419</v>
      </c>
      <c r="Y135" s="304">
        <v>181575</v>
      </c>
      <c r="Z135" s="304">
        <v>187761</v>
      </c>
      <c r="AA135" s="304">
        <v>193917</v>
      </c>
      <c r="AB135" s="304">
        <v>303644</v>
      </c>
      <c r="AC135" s="304">
        <v>291332</v>
      </c>
      <c r="AD135" s="304">
        <v>278640</v>
      </c>
      <c r="AE135" s="304">
        <v>269193</v>
      </c>
      <c r="AF135" s="304">
        <v>285152</v>
      </c>
      <c r="AG135" s="304">
        <v>275202</v>
      </c>
      <c r="AH135" s="304">
        <v>225472</v>
      </c>
      <c r="AI135" s="304">
        <v>253563</v>
      </c>
      <c r="AJ135" s="304">
        <v>75964</v>
      </c>
      <c r="AK135" s="304">
        <v>226093</v>
      </c>
      <c r="AL135" s="304">
        <v>225605</v>
      </c>
      <c r="AM135" s="304">
        <v>186575</v>
      </c>
      <c r="AN135" s="304">
        <v>141046</v>
      </c>
      <c r="AO135" s="304">
        <f t="shared" si="4"/>
        <v>98475</v>
      </c>
      <c r="AP135" s="163"/>
      <c r="AQ135" s="165"/>
    </row>
    <row r="136" spans="1:43" s="294" customFormat="1" ht="15.75" x14ac:dyDescent="0.25">
      <c r="A136" s="47" t="s">
        <v>326</v>
      </c>
      <c r="B136" s="301">
        <f t="shared" si="5"/>
        <v>147224.29147999999</v>
      </c>
      <c r="C136" s="301">
        <f t="shared" si="5"/>
        <v>140682.91182000001</v>
      </c>
      <c r="D136" s="301">
        <v>135502.82782999999</v>
      </c>
      <c r="E136" s="301">
        <f t="shared" si="6"/>
        <v>134224.36416</v>
      </c>
      <c r="F136" s="301">
        <f t="shared" si="6"/>
        <v>129308.75570000001</v>
      </c>
      <c r="G136" s="301">
        <v>125720.73585</v>
      </c>
      <c r="H136" s="301">
        <v>178132.19516</v>
      </c>
      <c r="I136" s="301">
        <v>171950.40976000001</v>
      </c>
      <c r="J136" s="302">
        <v>166877.50952000002</v>
      </c>
      <c r="K136" s="302">
        <v>162094.54255284421</v>
      </c>
      <c r="L136" s="302">
        <v>212871.73959724023</v>
      </c>
      <c r="M136" s="302">
        <v>206933.8</v>
      </c>
      <c r="N136" s="302">
        <v>200527</v>
      </c>
      <c r="O136" s="302">
        <v>194669</v>
      </c>
      <c r="P136" s="302">
        <v>248659</v>
      </c>
      <c r="Q136" s="302">
        <v>241869</v>
      </c>
      <c r="R136" s="302">
        <v>234157</v>
      </c>
      <c r="S136" s="302">
        <v>228090</v>
      </c>
      <c r="T136" s="302">
        <v>279925</v>
      </c>
      <c r="U136" s="302">
        <v>269129</v>
      </c>
      <c r="V136" s="302">
        <v>255469</v>
      </c>
      <c r="W136" s="302">
        <v>244054</v>
      </c>
      <c r="X136" s="302">
        <v>293976</v>
      </c>
      <c r="Y136" s="302">
        <v>279110</v>
      </c>
      <c r="Z136" s="302">
        <v>264654</v>
      </c>
      <c r="AA136" s="302">
        <v>254965</v>
      </c>
      <c r="AB136" s="302">
        <v>200070</v>
      </c>
      <c r="AC136" s="302">
        <v>206258</v>
      </c>
      <c r="AD136" s="302">
        <v>212071</v>
      </c>
      <c r="AE136" s="302">
        <v>218634</v>
      </c>
      <c r="AF136" s="302">
        <v>225206</v>
      </c>
      <c r="AG136" s="302">
        <v>225167</v>
      </c>
      <c r="AH136" s="302">
        <v>263610</v>
      </c>
      <c r="AI136" s="302">
        <v>225429</v>
      </c>
      <c r="AJ136" s="302">
        <v>225605</v>
      </c>
      <c r="AK136" s="302">
        <v>72982</v>
      </c>
      <c r="AL136" s="302">
        <v>37300</v>
      </c>
      <c r="AM136" s="302">
        <v>0</v>
      </c>
      <c r="AN136" s="302">
        <v>0</v>
      </c>
      <c r="AO136" s="302">
        <f t="shared" si="4"/>
        <v>0</v>
      </c>
      <c r="AP136" s="163"/>
      <c r="AQ136" s="163"/>
    </row>
    <row r="137" spans="1:43" s="294" customFormat="1" ht="15.75" x14ac:dyDescent="0.25">
      <c r="A137" s="20" t="s">
        <v>336</v>
      </c>
      <c r="B137" s="303">
        <f t="shared" si="5"/>
        <v>71582.407390000008</v>
      </c>
      <c r="C137" s="303">
        <f t="shared" si="5"/>
        <v>78714.291169999997</v>
      </c>
      <c r="D137" s="303">
        <v>77465.066749999998</v>
      </c>
      <c r="E137" s="303">
        <f t="shared" si="6"/>
        <v>79494.997260000004</v>
      </c>
      <c r="F137" s="303">
        <f t="shared" si="6"/>
        <v>88020.379939999999</v>
      </c>
      <c r="G137" s="303">
        <v>96541.305720000004</v>
      </c>
      <c r="H137" s="303">
        <v>105038.06822</v>
      </c>
      <c r="I137" s="303">
        <v>113552.12913000002</v>
      </c>
      <c r="J137" s="304">
        <v>121732.74305000002</v>
      </c>
      <c r="K137" s="304">
        <v>129859.77958899451</v>
      </c>
      <c r="L137" s="304">
        <v>138198.33924851299</v>
      </c>
      <c r="M137" s="304">
        <v>146480</v>
      </c>
      <c r="N137" s="304">
        <v>154656</v>
      </c>
      <c r="O137" s="304">
        <v>162675</v>
      </c>
      <c r="P137" s="304">
        <v>170653</v>
      </c>
      <c r="Q137" s="304">
        <v>178727</v>
      </c>
      <c r="R137" s="304">
        <v>186296</v>
      </c>
      <c r="S137" s="304">
        <v>194022</v>
      </c>
      <c r="T137" s="304">
        <v>201612</v>
      </c>
      <c r="U137" s="304">
        <v>209192</v>
      </c>
      <c r="V137" s="304">
        <v>216682</v>
      </c>
      <c r="W137" s="304">
        <v>224326</v>
      </c>
      <c r="X137" s="304">
        <v>232254</v>
      </c>
      <c r="Y137" s="304">
        <v>240405</v>
      </c>
      <c r="Z137" s="304">
        <v>248596</v>
      </c>
      <c r="AA137" s="304">
        <v>230890</v>
      </c>
      <c r="AB137" s="304">
        <v>226880</v>
      </c>
      <c r="AC137" s="304">
        <v>233897</v>
      </c>
      <c r="AD137" s="304">
        <v>240490</v>
      </c>
      <c r="AE137" s="304">
        <v>100062</v>
      </c>
      <c r="AF137" s="304">
        <v>103069</v>
      </c>
      <c r="AG137" s="304">
        <v>71228</v>
      </c>
      <c r="AH137" s="304">
        <v>71311</v>
      </c>
      <c r="AI137" s="304">
        <v>0</v>
      </c>
      <c r="AJ137" s="304">
        <v>0</v>
      </c>
      <c r="AK137" s="304">
        <v>0</v>
      </c>
      <c r="AL137" s="304">
        <v>0</v>
      </c>
      <c r="AM137" s="304">
        <v>0</v>
      </c>
      <c r="AN137" s="304">
        <v>0</v>
      </c>
      <c r="AO137" s="304">
        <f t="shared" si="4"/>
        <v>0</v>
      </c>
      <c r="AP137" s="163"/>
      <c r="AQ137" s="165"/>
    </row>
    <row r="138" spans="1:43" s="294" customFormat="1" ht="15.75" x14ac:dyDescent="0.25">
      <c r="A138" s="3" t="s">
        <v>317</v>
      </c>
      <c r="B138" s="301">
        <f t="shared" si="5"/>
        <v>188998.82834000001</v>
      </c>
      <c r="C138" s="301">
        <f t="shared" si="5"/>
        <v>193327.35092999999</v>
      </c>
      <c r="D138" s="301">
        <v>197720.49533999999</v>
      </c>
      <c r="E138" s="301">
        <f t="shared" si="6"/>
        <v>202182.76947999999</v>
      </c>
      <c r="F138" s="301">
        <f t="shared" si="6"/>
        <v>206506.78416000001</v>
      </c>
      <c r="G138" s="301">
        <v>210899.92864</v>
      </c>
      <c r="H138" s="301">
        <v>215145.87368000002</v>
      </c>
      <c r="I138" s="301">
        <v>219536.22837000003</v>
      </c>
      <c r="J138" s="302">
        <v>224002.95933000001</v>
      </c>
      <c r="K138" s="302">
        <v>228316.29586000004</v>
      </c>
      <c r="L138" s="302">
        <v>232865.65059000003</v>
      </c>
      <c r="M138" s="302">
        <v>237258.8</v>
      </c>
      <c r="N138" s="302">
        <v>241569</v>
      </c>
      <c r="O138" s="302">
        <v>245961</v>
      </c>
      <c r="P138" s="302">
        <v>250566</v>
      </c>
      <c r="Q138" s="302">
        <v>255481</v>
      </c>
      <c r="R138" s="302">
        <v>259550</v>
      </c>
      <c r="S138" s="302">
        <v>264013</v>
      </c>
      <c r="T138" s="302">
        <v>268626</v>
      </c>
      <c r="U138" s="302">
        <v>273062</v>
      </c>
      <c r="V138" s="302">
        <v>277486</v>
      </c>
      <c r="W138" s="302">
        <v>281705</v>
      </c>
      <c r="X138" s="302">
        <v>286077</v>
      </c>
      <c r="Y138" s="302">
        <v>290435</v>
      </c>
      <c r="Z138" s="302">
        <v>290367</v>
      </c>
      <c r="AA138" s="302">
        <v>290317</v>
      </c>
      <c r="AB138" s="302">
        <v>290006</v>
      </c>
      <c r="AC138" s="302">
        <v>289851</v>
      </c>
      <c r="AD138" s="302">
        <v>289477</v>
      </c>
      <c r="AE138" s="302">
        <v>288000</v>
      </c>
      <c r="AF138" s="302">
        <v>288000</v>
      </c>
      <c r="AG138" s="302">
        <v>288000</v>
      </c>
      <c r="AH138" s="302">
        <v>288000</v>
      </c>
      <c r="AI138" s="302">
        <v>288000</v>
      </c>
      <c r="AJ138" s="302">
        <v>290175</v>
      </c>
      <c r="AK138" s="302">
        <v>290371</v>
      </c>
      <c r="AL138" s="302">
        <v>290335</v>
      </c>
      <c r="AM138" s="302">
        <v>0</v>
      </c>
      <c r="AN138" s="302">
        <v>0</v>
      </c>
      <c r="AO138" s="302">
        <f t="shared" si="4"/>
        <v>0</v>
      </c>
      <c r="AP138" s="163"/>
      <c r="AQ138" s="163"/>
    </row>
    <row r="139" spans="1:43" s="294" customFormat="1" ht="15.75" x14ac:dyDescent="0.25">
      <c r="A139" s="19" t="s">
        <v>337</v>
      </c>
      <c r="B139" s="303"/>
      <c r="C139" s="303"/>
      <c r="D139" s="303"/>
      <c r="E139" s="303"/>
      <c r="F139" s="303"/>
      <c r="G139" s="303">
        <v>0</v>
      </c>
      <c r="H139" s="303">
        <v>0</v>
      </c>
      <c r="I139" s="303">
        <v>0</v>
      </c>
      <c r="J139" s="304">
        <v>0</v>
      </c>
      <c r="K139" s="304">
        <v>0</v>
      </c>
      <c r="L139" s="304">
        <v>0</v>
      </c>
      <c r="M139" s="304">
        <v>0</v>
      </c>
      <c r="N139" s="304">
        <v>0</v>
      </c>
      <c r="O139" s="304">
        <v>0</v>
      </c>
      <c r="P139" s="304">
        <v>0</v>
      </c>
      <c r="Q139" s="304">
        <v>0</v>
      </c>
      <c r="R139" s="304">
        <v>0</v>
      </c>
      <c r="S139" s="304">
        <v>0</v>
      </c>
      <c r="T139" s="304">
        <v>0</v>
      </c>
      <c r="U139" s="304">
        <v>0</v>
      </c>
      <c r="V139" s="304">
        <v>0</v>
      </c>
      <c r="W139" s="304">
        <v>0</v>
      </c>
      <c r="X139" s="304">
        <v>0</v>
      </c>
      <c r="Y139" s="304">
        <v>0</v>
      </c>
      <c r="Z139" s="304">
        <v>0</v>
      </c>
      <c r="AA139" s="304">
        <v>0</v>
      </c>
      <c r="AB139" s="304">
        <v>0</v>
      </c>
      <c r="AC139" s="304">
        <v>0</v>
      </c>
      <c r="AD139" s="304">
        <v>0</v>
      </c>
      <c r="AE139" s="304">
        <v>0</v>
      </c>
      <c r="AF139" s="304">
        <v>0</v>
      </c>
      <c r="AG139" s="304">
        <v>0</v>
      </c>
      <c r="AH139" s="304">
        <v>0</v>
      </c>
      <c r="AI139" s="304">
        <v>0</v>
      </c>
      <c r="AJ139" s="304">
        <v>0</v>
      </c>
      <c r="AK139" s="304">
        <v>0</v>
      </c>
      <c r="AL139" s="304">
        <v>0</v>
      </c>
      <c r="AM139" s="304">
        <v>0</v>
      </c>
      <c r="AN139" s="304">
        <v>0</v>
      </c>
      <c r="AO139" s="304">
        <f t="shared" si="4"/>
        <v>0</v>
      </c>
      <c r="AP139" s="163"/>
      <c r="AQ139" s="165"/>
    </row>
    <row r="140" spans="1:43" s="294" customFormat="1" ht="15.75" x14ac:dyDescent="0.25">
      <c r="A140" s="47" t="s">
        <v>325</v>
      </c>
      <c r="B140" s="301">
        <f>B22+B81</f>
        <v>0</v>
      </c>
      <c r="C140" s="301">
        <f>C22+C81</f>
        <v>0</v>
      </c>
      <c r="D140" s="301">
        <v>0</v>
      </c>
      <c r="E140" s="301">
        <v>0</v>
      </c>
      <c r="F140" s="301">
        <v>0</v>
      </c>
      <c r="G140" s="301">
        <v>0</v>
      </c>
      <c r="H140" s="301">
        <v>0</v>
      </c>
      <c r="I140" s="301">
        <v>0</v>
      </c>
      <c r="J140" s="302">
        <v>0</v>
      </c>
      <c r="K140" s="302">
        <v>0</v>
      </c>
      <c r="L140" s="302">
        <v>0</v>
      </c>
      <c r="M140" s="302">
        <v>0</v>
      </c>
      <c r="N140" s="302">
        <v>0</v>
      </c>
      <c r="O140" s="302">
        <v>0</v>
      </c>
      <c r="P140" s="302">
        <v>0</v>
      </c>
      <c r="Q140" s="302">
        <v>0</v>
      </c>
      <c r="R140" s="302">
        <v>28992</v>
      </c>
      <c r="S140" s="302">
        <v>29053</v>
      </c>
      <c r="T140" s="302">
        <v>58135</v>
      </c>
      <c r="U140" s="302">
        <v>58135</v>
      </c>
      <c r="V140" s="302">
        <v>87235</v>
      </c>
      <c r="W140" s="302">
        <v>87185</v>
      </c>
      <c r="X140" s="302">
        <v>116176</v>
      </c>
      <c r="Y140" s="302">
        <v>115933</v>
      </c>
      <c r="Z140" s="302">
        <v>144912</v>
      </c>
      <c r="AA140" s="302">
        <v>144887</v>
      </c>
      <c r="AB140" s="302">
        <v>173797</v>
      </c>
      <c r="AC140" s="302">
        <v>173511</v>
      </c>
      <c r="AD140" s="302">
        <v>201936</v>
      </c>
      <c r="AE140" s="302">
        <v>202338</v>
      </c>
      <c r="AF140" s="302">
        <v>202029</v>
      </c>
      <c r="AG140" s="302">
        <v>201776</v>
      </c>
      <c r="AH140" s="302">
        <v>201840</v>
      </c>
      <c r="AI140" s="302">
        <v>202026</v>
      </c>
      <c r="AJ140" s="302">
        <v>202324</v>
      </c>
      <c r="AK140" s="302">
        <v>202476</v>
      </c>
      <c r="AL140" s="302">
        <v>0</v>
      </c>
      <c r="AM140" s="302">
        <v>0</v>
      </c>
      <c r="AN140" s="302">
        <v>0</v>
      </c>
      <c r="AO140" s="302">
        <f t="shared" si="4"/>
        <v>0</v>
      </c>
      <c r="AP140" s="163"/>
      <c r="AQ140" s="163"/>
    </row>
    <row r="141" spans="1:43" s="294" customFormat="1" ht="15.75" x14ac:dyDescent="0.25">
      <c r="A141" s="20" t="s">
        <v>338</v>
      </c>
      <c r="B141" s="303">
        <f>B23+B82</f>
        <v>0</v>
      </c>
      <c r="C141" s="303">
        <f>C23+C82</f>
        <v>0</v>
      </c>
      <c r="D141" s="303">
        <v>0</v>
      </c>
      <c r="E141" s="303">
        <v>0</v>
      </c>
      <c r="F141" s="303">
        <v>0</v>
      </c>
      <c r="G141" s="303">
        <v>0</v>
      </c>
      <c r="H141" s="303">
        <v>0</v>
      </c>
      <c r="I141" s="303">
        <v>0</v>
      </c>
      <c r="J141" s="304">
        <v>51934.885919999993</v>
      </c>
      <c r="K141" s="304">
        <v>50902.724033520266</v>
      </c>
      <c r="L141" s="304">
        <v>49410.3321702307</v>
      </c>
      <c r="M141" s="304">
        <v>48350.6</v>
      </c>
      <c r="N141" s="304">
        <v>100086</v>
      </c>
      <c r="O141" s="304">
        <v>97712</v>
      </c>
      <c r="P141" s="304">
        <v>96083</v>
      </c>
      <c r="Q141" s="304">
        <v>94117</v>
      </c>
      <c r="R141" s="304">
        <v>146415</v>
      </c>
      <c r="S141" s="304">
        <v>143641</v>
      </c>
      <c r="T141" s="304">
        <v>139652</v>
      </c>
      <c r="U141" s="304">
        <v>135150</v>
      </c>
      <c r="V141" s="304">
        <v>182389</v>
      </c>
      <c r="W141" s="304">
        <v>175549</v>
      </c>
      <c r="X141" s="304">
        <v>170133</v>
      </c>
      <c r="Y141" s="304">
        <v>163180</v>
      </c>
      <c r="Z141" s="304">
        <v>206476</v>
      </c>
      <c r="AA141" s="304">
        <v>200363</v>
      </c>
      <c r="AB141" s="304">
        <v>196021</v>
      </c>
      <c r="AC141" s="304">
        <v>189357</v>
      </c>
      <c r="AD141" s="304">
        <v>232322</v>
      </c>
      <c r="AE141" s="304">
        <v>225900</v>
      </c>
      <c r="AF141" s="304">
        <v>221291</v>
      </c>
      <c r="AG141" s="304">
        <v>215075</v>
      </c>
      <c r="AH141" s="304">
        <v>219740</v>
      </c>
      <c r="AI141" s="304">
        <v>212832</v>
      </c>
      <c r="AJ141" s="304">
        <v>207777</v>
      </c>
      <c r="AK141" s="304">
        <v>202351</v>
      </c>
      <c r="AL141" s="304">
        <v>0</v>
      </c>
      <c r="AM141" s="304">
        <v>0</v>
      </c>
      <c r="AN141" s="304">
        <v>0</v>
      </c>
      <c r="AO141" s="304">
        <f t="shared" si="4"/>
        <v>0</v>
      </c>
      <c r="AP141" s="163"/>
      <c r="AQ141" s="165"/>
    </row>
    <row r="142" spans="1:43" s="294" customFormat="1" ht="15.75" x14ac:dyDescent="0.25">
      <c r="A142" s="3" t="s">
        <v>333</v>
      </c>
      <c r="B142" s="301"/>
      <c r="C142" s="301"/>
      <c r="D142" s="301"/>
      <c r="E142" s="301"/>
      <c r="F142" s="301"/>
      <c r="G142" s="301">
        <v>0</v>
      </c>
      <c r="H142" s="301">
        <v>0</v>
      </c>
      <c r="I142" s="301">
        <v>0</v>
      </c>
      <c r="J142" s="302">
        <v>0</v>
      </c>
      <c r="K142" s="302">
        <v>0</v>
      </c>
      <c r="L142" s="302">
        <v>0</v>
      </c>
      <c r="M142" s="302">
        <v>0</v>
      </c>
      <c r="N142" s="302">
        <v>0</v>
      </c>
      <c r="O142" s="302">
        <v>0</v>
      </c>
      <c r="P142" s="302">
        <v>0</v>
      </c>
      <c r="Q142" s="302">
        <v>0</v>
      </c>
      <c r="R142" s="302">
        <v>0</v>
      </c>
      <c r="S142" s="302">
        <v>0</v>
      </c>
      <c r="T142" s="302">
        <v>0</v>
      </c>
      <c r="U142" s="302">
        <v>0</v>
      </c>
      <c r="V142" s="302">
        <v>0</v>
      </c>
      <c r="W142" s="302">
        <v>0</v>
      </c>
      <c r="X142" s="302">
        <v>0</v>
      </c>
      <c r="Y142" s="302">
        <v>0</v>
      </c>
      <c r="Z142" s="302">
        <v>0</v>
      </c>
      <c r="AA142" s="302">
        <v>0</v>
      </c>
      <c r="AB142" s="302">
        <v>0</v>
      </c>
      <c r="AC142" s="302">
        <v>0</v>
      </c>
      <c r="AD142" s="302">
        <v>0</v>
      </c>
      <c r="AE142" s="302">
        <v>0</v>
      </c>
      <c r="AF142" s="302">
        <v>0</v>
      </c>
      <c r="AG142" s="302">
        <v>0</v>
      </c>
      <c r="AH142" s="302">
        <v>0</v>
      </c>
      <c r="AI142" s="302">
        <v>0</v>
      </c>
      <c r="AJ142" s="302">
        <v>0</v>
      </c>
      <c r="AK142" s="302">
        <v>0</v>
      </c>
      <c r="AL142" s="302">
        <v>0</v>
      </c>
      <c r="AM142" s="302">
        <v>0</v>
      </c>
      <c r="AN142" s="302">
        <v>0</v>
      </c>
      <c r="AO142" s="302">
        <f t="shared" si="4"/>
        <v>0</v>
      </c>
      <c r="AP142" s="163"/>
      <c r="AQ142" s="163"/>
    </row>
    <row r="143" spans="1:43" s="294" customFormat="1" ht="15.75" x14ac:dyDescent="0.25">
      <c r="A143" s="20" t="s">
        <v>325</v>
      </c>
      <c r="B143" s="303">
        <f>B25+B84</f>
        <v>0</v>
      </c>
      <c r="C143" s="303">
        <f>C25+C84</f>
        <v>0</v>
      </c>
      <c r="D143" s="303">
        <v>0</v>
      </c>
      <c r="E143" s="303">
        <f>E25+E84</f>
        <v>0</v>
      </c>
      <c r="F143" s="303">
        <f>F25+F84</f>
        <v>0</v>
      </c>
      <c r="G143" s="303">
        <v>0</v>
      </c>
      <c r="H143" s="303">
        <v>0</v>
      </c>
      <c r="I143" s="303">
        <v>131782.94930000001</v>
      </c>
      <c r="J143" s="304">
        <v>131818.15244000001</v>
      </c>
      <c r="K143" s="304">
        <v>131845.76671</v>
      </c>
      <c r="L143" s="304">
        <v>131810.69951999999</v>
      </c>
      <c r="M143" s="304">
        <f>M84+M25</f>
        <v>131860.4</v>
      </c>
      <c r="N143" s="304">
        <v>132037</v>
      </c>
      <c r="O143" s="304">
        <v>132574</v>
      </c>
      <c r="P143" s="304">
        <v>132933</v>
      </c>
      <c r="Q143" s="304">
        <v>133466</v>
      </c>
      <c r="R143" s="304">
        <v>133649</v>
      </c>
      <c r="S143" s="304">
        <v>134035</v>
      </c>
      <c r="T143" s="304">
        <v>133883</v>
      </c>
      <c r="U143" s="304">
        <v>133808</v>
      </c>
      <c r="V143" s="304">
        <v>133961</v>
      </c>
      <c r="W143" s="304">
        <v>134008</v>
      </c>
      <c r="X143" s="304">
        <v>133569</v>
      </c>
      <c r="Y143" s="304">
        <v>133317</v>
      </c>
      <c r="Z143" s="304">
        <v>133232</v>
      </c>
      <c r="AA143" s="304">
        <v>133192</v>
      </c>
      <c r="AB143" s="304">
        <v>132896</v>
      </c>
      <c r="AC143" s="304">
        <v>0</v>
      </c>
      <c r="AD143" s="304">
        <v>0</v>
      </c>
      <c r="AE143" s="304">
        <v>0</v>
      </c>
      <c r="AF143" s="304">
        <v>0</v>
      </c>
      <c r="AG143" s="304">
        <v>0</v>
      </c>
      <c r="AH143" s="304">
        <v>0</v>
      </c>
      <c r="AI143" s="304">
        <v>0</v>
      </c>
      <c r="AJ143" s="304">
        <v>0</v>
      </c>
      <c r="AK143" s="304">
        <v>0</v>
      </c>
      <c r="AL143" s="304">
        <v>0</v>
      </c>
      <c r="AM143" s="304">
        <v>0</v>
      </c>
      <c r="AN143" s="304">
        <v>0</v>
      </c>
      <c r="AO143" s="304">
        <f t="shared" si="4"/>
        <v>0</v>
      </c>
      <c r="AP143" s="163"/>
      <c r="AQ143" s="165"/>
    </row>
    <row r="144" spans="1:43" s="294" customFormat="1" ht="15.75" x14ac:dyDescent="0.25">
      <c r="A144" s="47" t="s">
        <v>326</v>
      </c>
      <c r="B144" s="301">
        <f>B26+B85</f>
        <v>35735.724510000007</v>
      </c>
      <c r="C144" s="301">
        <f>C26+C85</f>
        <v>34283.234039999996</v>
      </c>
      <c r="D144" s="301">
        <v>33375.417659999999</v>
      </c>
      <c r="E144" s="301">
        <f>E26+E85</f>
        <v>72889.44571</v>
      </c>
      <c r="F144" s="301">
        <f>F26+F85</f>
        <v>69988.654550000007</v>
      </c>
      <c r="G144" s="301">
        <v>67804.001940000002</v>
      </c>
      <c r="H144" s="301">
        <v>65756.350139999995</v>
      </c>
      <c r="I144" s="301">
        <v>101640.29765000001</v>
      </c>
      <c r="J144" s="302">
        <v>99007.736600000004</v>
      </c>
      <c r="K144" s="302">
        <v>96582.951956374891</v>
      </c>
      <c r="L144" s="302">
        <v>93441.764211126181</v>
      </c>
      <c r="M144" s="302">
        <v>130304.5</v>
      </c>
      <c r="N144" s="302">
        <v>126739</v>
      </c>
      <c r="O144" s="302">
        <v>123515</v>
      </c>
      <c r="P144" s="302">
        <v>121063</v>
      </c>
      <c r="Q144" s="302">
        <v>158588</v>
      </c>
      <c r="R144" s="302">
        <v>154136</v>
      </c>
      <c r="S144" s="302">
        <v>150756</v>
      </c>
      <c r="T144" s="302">
        <v>146087</v>
      </c>
      <c r="U144" s="302">
        <v>151298</v>
      </c>
      <c r="V144" s="302">
        <v>144151</v>
      </c>
      <c r="W144" s="302">
        <v>138302</v>
      </c>
      <c r="X144" s="302">
        <v>133593</v>
      </c>
      <c r="Y144" s="302">
        <v>137178</v>
      </c>
      <c r="Z144" s="302">
        <v>130556</v>
      </c>
      <c r="AA144" s="302">
        <v>126274</v>
      </c>
      <c r="AB144" s="302">
        <v>123124</v>
      </c>
      <c r="AC144" s="302">
        <v>0</v>
      </c>
      <c r="AD144" s="302">
        <v>0</v>
      </c>
      <c r="AE144" s="302">
        <v>0</v>
      </c>
      <c r="AF144" s="302">
        <v>0</v>
      </c>
      <c r="AG144" s="302">
        <v>0</v>
      </c>
      <c r="AH144" s="302">
        <v>0</v>
      </c>
      <c r="AI144" s="302">
        <v>0</v>
      </c>
      <c r="AJ144" s="302">
        <v>0</v>
      </c>
      <c r="AK144" s="302">
        <v>0</v>
      </c>
      <c r="AL144" s="302">
        <v>0</v>
      </c>
      <c r="AM144" s="302">
        <v>0</v>
      </c>
      <c r="AN144" s="302">
        <v>0</v>
      </c>
      <c r="AO144" s="302">
        <f t="shared" si="4"/>
        <v>0</v>
      </c>
      <c r="AP144" s="163"/>
      <c r="AQ144" s="163"/>
    </row>
    <row r="145" spans="1:43" s="294" customFormat="1" ht="15.75" x14ac:dyDescent="0.25">
      <c r="A145" s="19" t="s">
        <v>320</v>
      </c>
      <c r="B145" s="303"/>
      <c r="C145" s="303"/>
      <c r="D145" s="303"/>
      <c r="E145" s="303"/>
      <c r="F145" s="303"/>
      <c r="G145" s="303">
        <v>0</v>
      </c>
      <c r="H145" s="303">
        <v>0</v>
      </c>
      <c r="I145" s="303">
        <v>0</v>
      </c>
      <c r="J145" s="304">
        <v>0</v>
      </c>
      <c r="K145" s="304">
        <v>0</v>
      </c>
      <c r="L145" s="304">
        <v>0</v>
      </c>
      <c r="M145" s="304">
        <v>0</v>
      </c>
      <c r="N145" s="304">
        <v>0</v>
      </c>
      <c r="O145" s="304">
        <v>0</v>
      </c>
      <c r="P145" s="304">
        <v>0</v>
      </c>
      <c r="Q145" s="304">
        <v>0</v>
      </c>
      <c r="R145" s="304">
        <v>0</v>
      </c>
      <c r="S145" s="304">
        <v>0</v>
      </c>
      <c r="T145" s="304">
        <v>0</v>
      </c>
      <c r="U145" s="304">
        <v>0</v>
      </c>
      <c r="V145" s="304">
        <v>0</v>
      </c>
      <c r="W145" s="304">
        <v>0</v>
      </c>
      <c r="X145" s="304">
        <v>0</v>
      </c>
      <c r="Y145" s="304">
        <v>0</v>
      </c>
      <c r="Z145" s="304">
        <v>0</v>
      </c>
      <c r="AA145" s="304">
        <v>0</v>
      </c>
      <c r="AB145" s="304">
        <v>0</v>
      </c>
      <c r="AC145" s="304">
        <v>0</v>
      </c>
      <c r="AD145" s="304">
        <v>0</v>
      </c>
      <c r="AE145" s="304">
        <v>0</v>
      </c>
      <c r="AF145" s="304">
        <v>0</v>
      </c>
      <c r="AG145" s="304">
        <v>0</v>
      </c>
      <c r="AH145" s="304">
        <v>0</v>
      </c>
      <c r="AI145" s="304">
        <v>0</v>
      </c>
      <c r="AJ145" s="304">
        <v>0</v>
      </c>
      <c r="AK145" s="304">
        <v>0</v>
      </c>
      <c r="AL145" s="304">
        <v>0</v>
      </c>
      <c r="AM145" s="304">
        <v>0</v>
      </c>
      <c r="AN145" s="304">
        <v>0</v>
      </c>
      <c r="AO145" s="304">
        <f t="shared" si="4"/>
        <v>0</v>
      </c>
      <c r="AP145" s="163"/>
      <c r="AQ145" s="165"/>
    </row>
    <row r="146" spans="1:43" s="294" customFormat="1" ht="15.75" x14ac:dyDescent="0.25">
      <c r="A146" s="47" t="s">
        <v>37</v>
      </c>
      <c r="B146" s="301">
        <f>B28+B87</f>
        <v>65275.033230000008</v>
      </c>
      <c r="C146" s="301">
        <f>C28+C87</f>
        <v>66380.198250000001</v>
      </c>
      <c r="D146" s="301">
        <v>65276.950799999999</v>
      </c>
      <c r="E146" s="301">
        <f>E28+E87</f>
        <v>65203.012769999994</v>
      </c>
      <c r="F146" s="301">
        <f>F28+F87</f>
        <v>67191.396310000011</v>
      </c>
      <c r="G146" s="301">
        <v>61937.388229999997</v>
      </c>
      <c r="H146" s="301">
        <v>63693.98863</v>
      </c>
      <c r="I146" s="301">
        <v>65463.107100000001</v>
      </c>
      <c r="J146" s="302">
        <v>67039.816030000002</v>
      </c>
      <c r="K146" s="302">
        <v>68613.743383155786</v>
      </c>
      <c r="L146" s="302">
        <v>70307.610039571256</v>
      </c>
      <c r="M146" s="302">
        <v>71992.7</v>
      </c>
      <c r="N146" s="302">
        <v>73618</v>
      </c>
      <c r="O146" s="302">
        <v>75177</v>
      </c>
      <c r="P146" s="302">
        <v>64345</v>
      </c>
      <c r="Q146" s="302">
        <v>65684</v>
      </c>
      <c r="R146" s="302">
        <v>66870</v>
      </c>
      <c r="S146" s="302">
        <v>66641</v>
      </c>
      <c r="T146" s="302">
        <v>66402</v>
      </c>
      <c r="U146" s="302">
        <v>66144</v>
      </c>
      <c r="V146" s="302">
        <v>37195</v>
      </c>
      <c r="W146" s="302">
        <v>0</v>
      </c>
      <c r="X146" s="302">
        <v>0</v>
      </c>
      <c r="Y146" s="302">
        <v>0</v>
      </c>
      <c r="Z146" s="302">
        <v>0</v>
      </c>
      <c r="AA146" s="302">
        <v>0</v>
      </c>
      <c r="AB146" s="302">
        <v>0</v>
      </c>
      <c r="AC146" s="302">
        <v>0</v>
      </c>
      <c r="AD146" s="302">
        <v>0</v>
      </c>
      <c r="AE146" s="302">
        <v>0</v>
      </c>
      <c r="AF146" s="302">
        <v>0</v>
      </c>
      <c r="AG146" s="302">
        <v>0</v>
      </c>
      <c r="AH146" s="302">
        <v>0</v>
      </c>
      <c r="AI146" s="302">
        <v>0</v>
      </c>
      <c r="AJ146" s="302">
        <v>0</v>
      </c>
      <c r="AK146" s="302">
        <v>0</v>
      </c>
      <c r="AL146" s="302">
        <v>0</v>
      </c>
      <c r="AM146" s="302">
        <v>0</v>
      </c>
      <c r="AN146" s="302">
        <v>0</v>
      </c>
      <c r="AO146" s="302">
        <f t="shared" si="4"/>
        <v>0</v>
      </c>
      <c r="AP146" s="163"/>
      <c r="AQ146" s="163"/>
    </row>
    <row r="147" spans="1:43" s="294" customFormat="1" ht="15.75" x14ac:dyDescent="0.25">
      <c r="A147" s="20" t="s">
        <v>326</v>
      </c>
      <c r="B147" s="303">
        <f>B29+B88</f>
        <v>33408.566939999997</v>
      </c>
      <c r="C147" s="303">
        <f>C29+C88</f>
        <v>33129.858649999995</v>
      </c>
      <c r="D147" s="303">
        <v>32187.134729999998</v>
      </c>
      <c r="E147" s="303">
        <f>E29+E88</f>
        <v>32315.548699999992</v>
      </c>
      <c r="F147" s="303">
        <f>F29+F88</f>
        <v>32755.052190000002</v>
      </c>
      <c r="G147" s="303">
        <v>29594.4211</v>
      </c>
      <c r="H147" s="303">
        <v>30327.572650000002</v>
      </c>
      <c r="I147" s="303">
        <v>30836.977299999995</v>
      </c>
      <c r="J147" s="304">
        <v>31374.807869999997</v>
      </c>
      <c r="K147" s="304">
        <v>31928.827631331413</v>
      </c>
      <c r="L147" s="304">
        <v>32296.786932663887</v>
      </c>
      <c r="M147" s="304">
        <v>32868.400000000001</v>
      </c>
      <c r="N147" s="304">
        <v>33307</v>
      </c>
      <c r="O147" s="304">
        <v>33849</v>
      </c>
      <c r="P147" s="304">
        <v>29262</v>
      </c>
      <c r="Q147" s="304">
        <v>29727</v>
      </c>
      <c r="R147" s="304">
        <v>30057</v>
      </c>
      <c r="S147" s="304">
        <v>29909</v>
      </c>
      <c r="T147" s="304">
        <v>29521</v>
      </c>
      <c r="U147" s="304">
        <v>28989</v>
      </c>
      <c r="V147" s="304">
        <v>15971</v>
      </c>
      <c r="W147" s="304">
        <v>0</v>
      </c>
      <c r="X147" s="304">
        <v>0</v>
      </c>
      <c r="Y147" s="304">
        <v>0</v>
      </c>
      <c r="Z147" s="304">
        <v>0</v>
      </c>
      <c r="AA147" s="304">
        <v>0</v>
      </c>
      <c r="AB147" s="304">
        <v>0</v>
      </c>
      <c r="AC147" s="304">
        <v>0</v>
      </c>
      <c r="AD147" s="304">
        <v>0</v>
      </c>
      <c r="AE147" s="304">
        <v>0</v>
      </c>
      <c r="AF147" s="304">
        <v>0</v>
      </c>
      <c r="AG147" s="304">
        <v>0</v>
      </c>
      <c r="AH147" s="304">
        <v>0</v>
      </c>
      <c r="AI147" s="304">
        <v>0</v>
      </c>
      <c r="AJ147" s="304">
        <v>0</v>
      </c>
      <c r="AK147" s="304">
        <v>0</v>
      </c>
      <c r="AL147" s="304">
        <v>0</v>
      </c>
      <c r="AM147" s="304">
        <v>0</v>
      </c>
      <c r="AN147" s="304">
        <v>0</v>
      </c>
      <c r="AO147" s="304">
        <f t="shared" si="4"/>
        <v>0</v>
      </c>
      <c r="AP147" s="163"/>
      <c r="AQ147" s="165"/>
    </row>
    <row r="148" spans="1:43" s="294" customFormat="1" ht="15.75" x14ac:dyDescent="0.25">
      <c r="A148" s="3" t="s">
        <v>334</v>
      </c>
      <c r="B148" s="301"/>
      <c r="C148" s="301"/>
      <c r="D148" s="301"/>
      <c r="E148" s="301"/>
      <c r="F148" s="301"/>
      <c r="G148" s="301">
        <v>0</v>
      </c>
      <c r="H148" s="301">
        <v>0</v>
      </c>
      <c r="I148" s="301">
        <v>0</v>
      </c>
      <c r="J148" s="302">
        <v>0</v>
      </c>
      <c r="K148" s="302"/>
      <c r="L148" s="302">
        <v>0</v>
      </c>
      <c r="M148" s="302"/>
      <c r="N148" s="302">
        <v>0</v>
      </c>
      <c r="O148" s="302">
        <v>0</v>
      </c>
      <c r="P148" s="302">
        <v>0</v>
      </c>
      <c r="Q148" s="302">
        <v>0</v>
      </c>
      <c r="R148" s="302">
        <v>0</v>
      </c>
      <c r="S148" s="302">
        <v>0</v>
      </c>
      <c r="T148" s="302">
        <v>0</v>
      </c>
      <c r="U148" s="302">
        <v>0</v>
      </c>
      <c r="V148" s="302">
        <v>0</v>
      </c>
      <c r="W148" s="302">
        <v>0</v>
      </c>
      <c r="X148" s="302">
        <v>0</v>
      </c>
      <c r="Y148" s="302">
        <v>0</v>
      </c>
      <c r="Z148" s="302">
        <v>0</v>
      </c>
      <c r="AA148" s="302">
        <v>0</v>
      </c>
      <c r="AB148" s="302">
        <v>0</v>
      </c>
      <c r="AC148" s="302">
        <v>0</v>
      </c>
      <c r="AD148" s="302">
        <v>0</v>
      </c>
      <c r="AE148" s="302">
        <v>0</v>
      </c>
      <c r="AF148" s="302">
        <v>0</v>
      </c>
      <c r="AG148" s="302">
        <v>0</v>
      </c>
      <c r="AH148" s="302">
        <v>0</v>
      </c>
      <c r="AI148" s="302">
        <v>0</v>
      </c>
      <c r="AJ148" s="302">
        <v>0</v>
      </c>
      <c r="AK148" s="302">
        <v>0</v>
      </c>
      <c r="AL148" s="302">
        <v>0</v>
      </c>
      <c r="AM148" s="302">
        <v>0</v>
      </c>
      <c r="AN148" s="302">
        <v>0</v>
      </c>
      <c r="AO148" s="302">
        <f t="shared" si="4"/>
        <v>0</v>
      </c>
      <c r="AP148" s="163"/>
      <c r="AQ148" s="163"/>
    </row>
    <row r="149" spans="1:43" s="294" customFormat="1" ht="15.75" x14ac:dyDescent="0.25">
      <c r="A149" s="20" t="s">
        <v>325</v>
      </c>
      <c r="B149" s="303">
        <f t="shared" ref="B149:C151" si="7">B31+B90</f>
        <v>0</v>
      </c>
      <c r="C149" s="303">
        <f t="shared" si="7"/>
        <v>0</v>
      </c>
      <c r="D149" s="303">
        <v>0</v>
      </c>
      <c r="E149" s="303">
        <v>0</v>
      </c>
      <c r="F149" s="303">
        <v>0</v>
      </c>
      <c r="G149" s="303">
        <v>0</v>
      </c>
      <c r="H149" s="303">
        <v>0</v>
      </c>
      <c r="I149" s="303">
        <v>0</v>
      </c>
      <c r="J149" s="304">
        <v>0</v>
      </c>
      <c r="K149" s="304">
        <v>0</v>
      </c>
      <c r="L149" s="304">
        <v>251326.57103999998</v>
      </c>
      <c r="M149" s="304">
        <v>279165.7</v>
      </c>
      <c r="N149" s="304">
        <v>307300</v>
      </c>
      <c r="O149" s="304">
        <v>336162</v>
      </c>
      <c r="P149" s="304">
        <v>337168</v>
      </c>
      <c r="Q149" s="304">
        <v>337430</v>
      </c>
      <c r="R149" s="304">
        <v>338027</v>
      </c>
      <c r="S149" s="304">
        <v>338821</v>
      </c>
      <c r="T149" s="304">
        <v>338612</v>
      </c>
      <c r="U149" s="304">
        <v>338404</v>
      </c>
      <c r="V149" s="304">
        <v>338617</v>
      </c>
      <c r="W149" s="304">
        <v>336739</v>
      </c>
      <c r="X149" s="304">
        <v>0</v>
      </c>
      <c r="Y149" s="304">
        <v>0</v>
      </c>
      <c r="Z149" s="304">
        <v>0</v>
      </c>
      <c r="AA149" s="304">
        <v>0</v>
      </c>
      <c r="AB149" s="304">
        <v>0</v>
      </c>
      <c r="AC149" s="304">
        <v>0</v>
      </c>
      <c r="AD149" s="304">
        <v>0</v>
      </c>
      <c r="AE149" s="304">
        <v>0</v>
      </c>
      <c r="AF149" s="304">
        <v>0</v>
      </c>
      <c r="AG149" s="304">
        <v>0</v>
      </c>
      <c r="AH149" s="304">
        <v>0</v>
      </c>
      <c r="AI149" s="304">
        <v>0</v>
      </c>
      <c r="AJ149" s="304">
        <v>0</v>
      </c>
      <c r="AK149" s="304">
        <v>0</v>
      </c>
      <c r="AL149" s="304">
        <v>0</v>
      </c>
      <c r="AM149" s="304">
        <v>0</v>
      </c>
      <c r="AN149" s="304">
        <v>0</v>
      </c>
      <c r="AO149" s="304">
        <f t="shared" si="4"/>
        <v>0</v>
      </c>
      <c r="AP149" s="166"/>
      <c r="AQ149" s="165"/>
    </row>
    <row r="150" spans="1:43" s="294" customFormat="1" ht="15.75" x14ac:dyDescent="0.25">
      <c r="A150" s="47" t="s">
        <v>326</v>
      </c>
      <c r="B150" s="301">
        <f t="shared" si="7"/>
        <v>0</v>
      </c>
      <c r="C150" s="301">
        <f t="shared" si="7"/>
        <v>0</v>
      </c>
      <c r="D150" s="301">
        <v>0</v>
      </c>
      <c r="E150" s="301">
        <v>0</v>
      </c>
      <c r="F150" s="301">
        <v>0</v>
      </c>
      <c r="G150" s="301">
        <v>0</v>
      </c>
      <c r="H150" s="301">
        <v>0</v>
      </c>
      <c r="I150" s="301">
        <v>0</v>
      </c>
      <c r="J150" s="302">
        <v>0</v>
      </c>
      <c r="K150" s="302">
        <v>0</v>
      </c>
      <c r="L150" s="302">
        <v>20929.075459230804</v>
      </c>
      <c r="M150" s="302">
        <v>20767.7</v>
      </c>
      <c r="N150" s="302">
        <v>20551</v>
      </c>
      <c r="O150" s="302">
        <v>20427</v>
      </c>
      <c r="P150" s="302">
        <v>20333</v>
      </c>
      <c r="Q150" s="302">
        <v>20160</v>
      </c>
      <c r="R150" s="302">
        <v>19964</v>
      </c>
      <c r="S150" s="302">
        <v>19874</v>
      </c>
      <c r="T150" s="302">
        <v>19609</v>
      </c>
      <c r="U150" s="302">
        <v>19257</v>
      </c>
      <c r="V150" s="302">
        <v>18673</v>
      </c>
      <c r="W150" s="302">
        <v>18177</v>
      </c>
      <c r="X150" s="302">
        <v>0</v>
      </c>
      <c r="Y150" s="302">
        <v>0</v>
      </c>
      <c r="Z150" s="302">
        <v>0</v>
      </c>
      <c r="AA150" s="302">
        <v>0</v>
      </c>
      <c r="AB150" s="302">
        <v>0</v>
      </c>
      <c r="AC150" s="302">
        <v>0</v>
      </c>
      <c r="AD150" s="302">
        <v>0</v>
      </c>
      <c r="AE150" s="302">
        <v>0</v>
      </c>
      <c r="AF150" s="302">
        <v>0</v>
      </c>
      <c r="AG150" s="302">
        <v>0</v>
      </c>
      <c r="AH150" s="302">
        <v>0</v>
      </c>
      <c r="AI150" s="302">
        <v>0</v>
      </c>
      <c r="AJ150" s="302">
        <v>0</v>
      </c>
      <c r="AK150" s="302">
        <v>0</v>
      </c>
      <c r="AL150" s="302">
        <v>0</v>
      </c>
      <c r="AM150" s="302">
        <v>0</v>
      </c>
      <c r="AN150" s="302">
        <v>0</v>
      </c>
      <c r="AO150" s="302">
        <f t="shared" si="4"/>
        <v>0</v>
      </c>
      <c r="AP150" s="166"/>
      <c r="AQ150" s="163"/>
    </row>
    <row r="151" spans="1:43" s="294" customFormat="1" ht="15.75" x14ac:dyDescent="0.25">
      <c r="A151" s="19" t="s">
        <v>335</v>
      </c>
      <c r="B151" s="303">
        <f t="shared" si="7"/>
        <v>0</v>
      </c>
      <c r="C151" s="303">
        <f t="shared" si="7"/>
        <v>0</v>
      </c>
      <c r="D151" s="303">
        <v>0</v>
      </c>
      <c r="E151" s="303">
        <v>0</v>
      </c>
      <c r="F151" s="303">
        <v>0</v>
      </c>
      <c r="G151" s="303">
        <v>0</v>
      </c>
      <c r="H151" s="303">
        <v>0</v>
      </c>
      <c r="I151" s="303">
        <v>0</v>
      </c>
      <c r="J151" s="304">
        <v>0</v>
      </c>
      <c r="K151" s="304">
        <v>0</v>
      </c>
      <c r="L151" s="304">
        <v>102649.74781</v>
      </c>
      <c r="M151" s="304">
        <v>100328.3</v>
      </c>
      <c r="N151" s="304">
        <v>123428</v>
      </c>
      <c r="O151" s="304">
        <v>120484</v>
      </c>
      <c r="P151" s="304">
        <v>156945</v>
      </c>
      <c r="Q151" s="304">
        <v>152174</v>
      </c>
      <c r="R151" s="304">
        <v>146519</v>
      </c>
      <c r="S151" s="304">
        <v>141082</v>
      </c>
      <c r="T151" s="304">
        <v>0</v>
      </c>
      <c r="U151" s="304">
        <v>0</v>
      </c>
      <c r="V151" s="304">
        <v>0</v>
      </c>
      <c r="W151" s="304">
        <v>0</v>
      </c>
      <c r="X151" s="304">
        <v>0</v>
      </c>
      <c r="Y151" s="304">
        <v>0</v>
      </c>
      <c r="Z151" s="304">
        <v>0</v>
      </c>
      <c r="AA151" s="304">
        <v>0</v>
      </c>
      <c r="AB151" s="304">
        <v>0</v>
      </c>
      <c r="AC151" s="304">
        <v>0</v>
      </c>
      <c r="AD151" s="304">
        <v>0</v>
      </c>
      <c r="AE151" s="304">
        <v>0</v>
      </c>
      <c r="AF151" s="304">
        <v>0</v>
      </c>
      <c r="AG151" s="304">
        <v>0</v>
      </c>
      <c r="AH151" s="304">
        <v>0</v>
      </c>
      <c r="AI151" s="304">
        <v>0</v>
      </c>
      <c r="AJ151" s="304">
        <v>0</v>
      </c>
      <c r="AK151" s="304">
        <v>0</v>
      </c>
      <c r="AL151" s="304">
        <v>0</v>
      </c>
      <c r="AM151" s="304">
        <v>0</v>
      </c>
      <c r="AN151" s="304">
        <v>0</v>
      </c>
      <c r="AO151" s="304">
        <f t="shared" si="4"/>
        <v>0</v>
      </c>
      <c r="AP151" s="166"/>
      <c r="AQ151" s="165"/>
    </row>
    <row r="152" spans="1:43" s="294" customFormat="1" ht="15.75" x14ac:dyDescent="0.25">
      <c r="A152" s="3" t="s">
        <v>35</v>
      </c>
      <c r="B152" s="301"/>
      <c r="C152" s="301"/>
      <c r="D152" s="301"/>
      <c r="E152" s="301"/>
      <c r="F152" s="301"/>
      <c r="G152" s="301">
        <v>0</v>
      </c>
      <c r="H152" s="301">
        <v>0</v>
      </c>
      <c r="I152" s="301">
        <v>0</v>
      </c>
      <c r="J152" s="302">
        <v>0</v>
      </c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2"/>
      <c r="AD152" s="302"/>
      <c r="AE152" s="302"/>
      <c r="AF152" s="302"/>
      <c r="AG152" s="302"/>
      <c r="AH152" s="302"/>
      <c r="AI152" s="302"/>
      <c r="AJ152" s="302"/>
      <c r="AK152" s="302"/>
      <c r="AL152" s="302"/>
      <c r="AM152" s="302"/>
      <c r="AN152" s="302"/>
      <c r="AO152" s="302">
        <f t="shared" si="4"/>
        <v>0</v>
      </c>
      <c r="AP152" s="166"/>
      <c r="AQ152" s="163"/>
    </row>
    <row r="153" spans="1:43" s="294" customFormat="1" ht="15.75" x14ac:dyDescent="0.25">
      <c r="A153" s="20" t="s">
        <v>325</v>
      </c>
      <c r="B153" s="303">
        <f>B35+B94</f>
        <v>128627.82341000003</v>
      </c>
      <c r="C153" s="303">
        <f>C35+C94</f>
        <v>109419.08096000001</v>
      </c>
      <c r="D153" s="303">
        <v>107407.76434000001</v>
      </c>
      <c r="E153" s="303">
        <f>E35+E94</f>
        <v>106917.98431</v>
      </c>
      <c r="F153" s="303">
        <f>F35+F94</f>
        <v>109405.59457999999</v>
      </c>
      <c r="G153" s="303">
        <v>111866.81205000002</v>
      </c>
      <c r="H153" s="303">
        <v>114308.90935</v>
      </c>
      <c r="I153" s="303">
        <v>74520.692220000012</v>
      </c>
      <c r="J153" s="304">
        <v>76448.965560000011</v>
      </c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4"/>
      <c r="AJ153" s="304"/>
      <c r="AK153" s="304"/>
      <c r="AL153" s="304"/>
      <c r="AM153" s="304"/>
      <c r="AN153" s="304"/>
      <c r="AO153" s="304">
        <f t="shared" si="4"/>
        <v>0</v>
      </c>
      <c r="AP153" s="166"/>
      <c r="AQ153" s="165"/>
    </row>
    <row r="154" spans="1:43" s="294" customFormat="1" ht="15.75" x14ac:dyDescent="0.25">
      <c r="A154" s="47" t="s">
        <v>326</v>
      </c>
      <c r="B154" s="301">
        <f>B36+B95</f>
        <v>62666.688739999998</v>
      </c>
      <c r="C154" s="301">
        <f>C36+C95</f>
        <v>51826.639470000002</v>
      </c>
      <c r="D154" s="301">
        <v>50271.766799999998</v>
      </c>
      <c r="E154" s="301">
        <f>E36+E95</f>
        <v>50292.655080000004</v>
      </c>
      <c r="F154" s="301">
        <f>F36+F95</f>
        <v>50616.592270000008</v>
      </c>
      <c r="G154" s="301">
        <v>51467.323199999999</v>
      </c>
      <c r="H154" s="301">
        <v>52403.069739999999</v>
      </c>
      <c r="I154" s="301">
        <v>34732.665489999999</v>
      </c>
      <c r="J154" s="302">
        <v>35397.540689999994</v>
      </c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2"/>
      <c r="AD154" s="302"/>
      <c r="AE154" s="302"/>
      <c r="AF154" s="302"/>
      <c r="AG154" s="302"/>
      <c r="AH154" s="302"/>
      <c r="AI154" s="302"/>
      <c r="AJ154" s="302"/>
      <c r="AK154" s="302"/>
      <c r="AL154" s="302"/>
      <c r="AM154" s="302"/>
      <c r="AN154" s="302"/>
      <c r="AO154" s="302">
        <f t="shared" si="4"/>
        <v>0</v>
      </c>
      <c r="AP154" s="166"/>
      <c r="AQ154" s="163"/>
    </row>
    <row r="155" spans="1:43" s="294" customFormat="1" ht="15.75" x14ac:dyDescent="0.25">
      <c r="A155" s="19" t="s">
        <v>324</v>
      </c>
      <c r="B155" s="303"/>
      <c r="C155" s="303"/>
      <c r="D155" s="303"/>
      <c r="E155" s="303"/>
      <c r="F155" s="303"/>
      <c r="G155" s="303">
        <v>0</v>
      </c>
      <c r="H155" s="303">
        <v>0</v>
      </c>
      <c r="I155" s="303">
        <v>0</v>
      </c>
      <c r="J155" s="304">
        <v>0</v>
      </c>
      <c r="K155" s="304">
        <v>0</v>
      </c>
      <c r="L155" s="304">
        <v>0</v>
      </c>
      <c r="M155" s="304">
        <v>0</v>
      </c>
      <c r="N155" s="304">
        <v>0</v>
      </c>
      <c r="O155" s="304">
        <v>0</v>
      </c>
      <c r="P155" s="304">
        <v>0</v>
      </c>
      <c r="Q155" s="304">
        <v>0</v>
      </c>
      <c r="R155" s="304">
        <v>0</v>
      </c>
      <c r="S155" s="304">
        <v>0</v>
      </c>
      <c r="T155" s="304">
        <v>0</v>
      </c>
      <c r="U155" s="304">
        <v>0</v>
      </c>
      <c r="V155" s="304">
        <v>0</v>
      </c>
      <c r="W155" s="304">
        <v>0</v>
      </c>
      <c r="X155" s="304">
        <v>0</v>
      </c>
      <c r="Y155" s="304">
        <v>0</v>
      </c>
      <c r="Z155" s="304">
        <v>0</v>
      </c>
      <c r="AA155" s="304">
        <v>0</v>
      </c>
      <c r="AB155" s="304">
        <v>0</v>
      </c>
      <c r="AC155" s="304">
        <v>0</v>
      </c>
      <c r="AD155" s="304">
        <v>0</v>
      </c>
      <c r="AE155" s="304">
        <v>0</v>
      </c>
      <c r="AF155" s="304">
        <v>0</v>
      </c>
      <c r="AG155" s="304">
        <v>0</v>
      </c>
      <c r="AH155" s="304">
        <v>0</v>
      </c>
      <c r="AI155" s="304">
        <v>0</v>
      </c>
      <c r="AJ155" s="304">
        <v>0</v>
      </c>
      <c r="AK155" s="304">
        <v>0</v>
      </c>
      <c r="AL155" s="304">
        <v>0</v>
      </c>
      <c r="AM155" s="304">
        <v>0</v>
      </c>
      <c r="AN155" s="304">
        <v>0</v>
      </c>
      <c r="AO155" s="304">
        <f t="shared" si="4"/>
        <v>0</v>
      </c>
      <c r="AP155" s="166"/>
      <c r="AQ155" s="165"/>
    </row>
    <row r="156" spans="1:43" s="294" customFormat="1" ht="15.75" x14ac:dyDescent="0.25">
      <c r="A156" s="47" t="s">
        <v>325</v>
      </c>
      <c r="B156" s="301">
        <f>B38+B97</f>
        <v>213433.34776</v>
      </c>
      <c r="C156" s="301">
        <f>C38+C97</f>
        <v>205854.59113999997</v>
      </c>
      <c r="D156" s="301">
        <v>206468.69295</v>
      </c>
      <c r="E156" s="301">
        <f>E38+E97</f>
        <v>205285.72005999999</v>
      </c>
      <c r="F156" s="301">
        <f>F38+F97</f>
        <v>204692.30364000003</v>
      </c>
      <c r="G156" s="301">
        <v>200993.7862</v>
      </c>
      <c r="H156" s="301">
        <v>202581.23222999999</v>
      </c>
      <c r="I156" s="301">
        <v>197260.79850999999</v>
      </c>
      <c r="J156" s="302">
        <v>197964.02116999999</v>
      </c>
      <c r="K156" s="302">
        <v>194182.35147858044</v>
      </c>
      <c r="L156" s="302">
        <v>192918.74230999994</v>
      </c>
      <c r="M156" s="302">
        <v>189204.80000000002</v>
      </c>
      <c r="N156" s="302">
        <v>0</v>
      </c>
      <c r="O156" s="302">
        <v>0</v>
      </c>
      <c r="P156" s="302">
        <v>0</v>
      </c>
      <c r="Q156" s="302">
        <v>0</v>
      </c>
      <c r="R156" s="302">
        <v>0</v>
      </c>
      <c r="S156" s="302">
        <v>0</v>
      </c>
      <c r="T156" s="302">
        <v>0</v>
      </c>
      <c r="U156" s="302">
        <v>0</v>
      </c>
      <c r="V156" s="302">
        <v>0</v>
      </c>
      <c r="W156" s="302">
        <v>0</v>
      </c>
      <c r="X156" s="302">
        <v>0</v>
      </c>
      <c r="Y156" s="302">
        <v>0</v>
      </c>
      <c r="Z156" s="302">
        <v>0</v>
      </c>
      <c r="AA156" s="302">
        <v>0</v>
      </c>
      <c r="AB156" s="302">
        <v>0</v>
      </c>
      <c r="AC156" s="302">
        <v>0</v>
      </c>
      <c r="AD156" s="302">
        <v>0</v>
      </c>
      <c r="AE156" s="302">
        <v>0</v>
      </c>
      <c r="AF156" s="302">
        <v>0</v>
      </c>
      <c r="AG156" s="302">
        <v>0</v>
      </c>
      <c r="AH156" s="302">
        <v>0</v>
      </c>
      <c r="AI156" s="302">
        <v>0</v>
      </c>
      <c r="AJ156" s="302">
        <v>0</v>
      </c>
      <c r="AK156" s="302">
        <v>0</v>
      </c>
      <c r="AL156" s="302">
        <v>0</v>
      </c>
      <c r="AM156" s="302">
        <v>0</v>
      </c>
      <c r="AN156" s="302">
        <v>0</v>
      </c>
      <c r="AO156" s="302">
        <f t="shared" si="4"/>
        <v>0</v>
      </c>
      <c r="AP156" s="163"/>
      <c r="AQ156" s="163"/>
    </row>
    <row r="157" spans="1:43" s="294" customFormat="1" ht="15.75" x14ac:dyDescent="0.25">
      <c r="A157" s="20" t="s">
        <v>326</v>
      </c>
      <c r="B157" s="303">
        <f>B39+B98</f>
        <v>91906.23576000001</v>
      </c>
      <c r="C157" s="303">
        <f>C39+C98</f>
        <v>88598.624120000008</v>
      </c>
      <c r="D157" s="303">
        <v>88904.384319999997</v>
      </c>
      <c r="E157" s="303">
        <f>E39+E98</f>
        <v>88352.388489999983</v>
      </c>
      <c r="F157" s="303">
        <f>F39+F98</f>
        <v>88143.660480000006</v>
      </c>
      <c r="G157" s="303">
        <v>86507.245710000003</v>
      </c>
      <c r="H157" s="303">
        <v>87230.494780000008</v>
      </c>
      <c r="I157" s="303">
        <v>84897.851919999986</v>
      </c>
      <c r="J157" s="304">
        <v>85243.60407999999</v>
      </c>
      <c r="K157" s="304">
        <v>83574.297649185231</v>
      </c>
      <c r="L157" s="304">
        <v>83058.681079999995</v>
      </c>
      <c r="M157" s="304">
        <v>81419.100000000006</v>
      </c>
      <c r="N157" s="304">
        <v>0</v>
      </c>
      <c r="O157" s="304">
        <v>0</v>
      </c>
      <c r="P157" s="304">
        <v>0</v>
      </c>
      <c r="Q157" s="304">
        <v>0</v>
      </c>
      <c r="R157" s="304">
        <v>0</v>
      </c>
      <c r="S157" s="304">
        <v>0</v>
      </c>
      <c r="T157" s="304">
        <v>0</v>
      </c>
      <c r="U157" s="304">
        <v>0</v>
      </c>
      <c r="V157" s="304">
        <v>0</v>
      </c>
      <c r="W157" s="304">
        <v>0</v>
      </c>
      <c r="X157" s="304">
        <v>0</v>
      </c>
      <c r="Y157" s="304">
        <v>0</v>
      </c>
      <c r="Z157" s="304">
        <v>0</v>
      </c>
      <c r="AA157" s="304">
        <v>0</v>
      </c>
      <c r="AB157" s="304">
        <v>0</v>
      </c>
      <c r="AC157" s="304">
        <v>0</v>
      </c>
      <c r="AD157" s="304">
        <v>0</v>
      </c>
      <c r="AE157" s="304">
        <v>0</v>
      </c>
      <c r="AF157" s="304">
        <v>0</v>
      </c>
      <c r="AG157" s="304">
        <v>0</v>
      </c>
      <c r="AH157" s="304">
        <v>0</v>
      </c>
      <c r="AI157" s="304">
        <v>0</v>
      </c>
      <c r="AJ157" s="304">
        <v>0</v>
      </c>
      <c r="AK157" s="304">
        <v>0</v>
      </c>
      <c r="AL157" s="304">
        <v>0</v>
      </c>
      <c r="AM157" s="304">
        <v>0</v>
      </c>
      <c r="AN157" s="304">
        <v>0</v>
      </c>
      <c r="AO157" s="304">
        <f t="shared" si="4"/>
        <v>0</v>
      </c>
      <c r="AP157" s="166"/>
      <c r="AQ157" s="165"/>
    </row>
    <row r="158" spans="1:43" s="294" customFormat="1" ht="15.75" x14ac:dyDescent="0.25">
      <c r="A158" s="3" t="s">
        <v>36</v>
      </c>
      <c r="B158" s="301"/>
      <c r="C158" s="301"/>
      <c r="D158" s="301"/>
      <c r="E158" s="301"/>
      <c r="F158" s="301"/>
      <c r="G158" s="301">
        <v>0</v>
      </c>
      <c r="H158" s="301">
        <v>0</v>
      </c>
      <c r="I158" s="301">
        <v>0</v>
      </c>
      <c r="J158" s="302">
        <v>0</v>
      </c>
      <c r="K158" s="302">
        <v>0</v>
      </c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  <c r="AJ158" s="302"/>
      <c r="AK158" s="302"/>
      <c r="AL158" s="302"/>
      <c r="AM158" s="302"/>
      <c r="AN158" s="302"/>
      <c r="AO158" s="302">
        <f t="shared" si="4"/>
        <v>0</v>
      </c>
      <c r="AP158" s="163"/>
      <c r="AQ158" s="163"/>
    </row>
    <row r="159" spans="1:43" s="294" customFormat="1" ht="15.75" x14ac:dyDescent="0.25">
      <c r="A159" s="20" t="s">
        <v>37</v>
      </c>
      <c r="B159" s="303">
        <f t="shared" ref="B159:C161" si="8">B41+B100</f>
        <v>93484.633130000002</v>
      </c>
      <c r="C159" s="303">
        <f t="shared" si="8"/>
        <v>93015.576690000002</v>
      </c>
      <c r="D159" s="303">
        <v>94174.227400000003</v>
      </c>
      <c r="E159" s="303">
        <f t="shared" ref="E159:F161" si="9">E41+E100</f>
        <v>93434.253769999996</v>
      </c>
      <c r="F159" s="303">
        <f t="shared" si="9"/>
        <v>95105.905939999997</v>
      </c>
      <c r="G159" s="303">
        <v>93857.997310000006</v>
      </c>
      <c r="H159" s="303">
        <v>95394.960349999994</v>
      </c>
      <c r="I159" s="303">
        <v>93851.156789999994</v>
      </c>
      <c r="J159" s="304">
        <v>95242.709990000003</v>
      </c>
      <c r="K159" s="304">
        <v>93701.407699999996</v>
      </c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304"/>
      <c r="AG159" s="304"/>
      <c r="AH159" s="304"/>
      <c r="AI159" s="304"/>
      <c r="AJ159" s="304"/>
      <c r="AK159" s="304"/>
      <c r="AL159" s="304"/>
      <c r="AM159" s="304"/>
      <c r="AN159" s="304"/>
      <c r="AO159" s="304">
        <f t="shared" si="4"/>
        <v>0</v>
      </c>
      <c r="AP159" s="166"/>
      <c r="AQ159" s="165"/>
    </row>
    <row r="160" spans="1:43" s="294" customFormat="1" ht="15" customHeight="1" x14ac:dyDescent="0.25">
      <c r="A160" s="47" t="s">
        <v>38</v>
      </c>
      <c r="B160" s="301">
        <f t="shared" si="8"/>
        <v>545309.09401999996</v>
      </c>
      <c r="C160" s="301">
        <f t="shared" si="8"/>
        <v>542493.88626000006</v>
      </c>
      <c r="D160" s="301">
        <v>549448.67021000001</v>
      </c>
      <c r="E160" s="301">
        <f t="shared" si="9"/>
        <v>545006.69807000004</v>
      </c>
      <c r="F160" s="301">
        <f t="shared" si="9"/>
        <v>555042.84484000003</v>
      </c>
      <c r="G160" s="301">
        <v>547550.24543999997</v>
      </c>
      <c r="H160" s="301">
        <v>556778.76217999996</v>
      </c>
      <c r="I160" s="301">
        <v>547509.18030000001</v>
      </c>
      <c r="J160" s="302">
        <v>555864.39876000001</v>
      </c>
      <c r="K160" s="302">
        <v>546610.26395000005</v>
      </c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  <c r="AJ160" s="302"/>
      <c r="AK160" s="302"/>
      <c r="AL160" s="302"/>
      <c r="AM160" s="302"/>
      <c r="AN160" s="302"/>
      <c r="AO160" s="302">
        <f t="shared" si="4"/>
        <v>0</v>
      </c>
      <c r="AP160" s="166"/>
      <c r="AQ160" s="163"/>
    </row>
    <row r="161" spans="1:43" s="294" customFormat="1" ht="15.75" x14ac:dyDescent="0.25">
      <c r="A161" s="20" t="s">
        <v>39</v>
      </c>
      <c r="B161" s="303">
        <f t="shared" si="8"/>
        <v>75391.382220000014</v>
      </c>
      <c r="C161" s="303">
        <f t="shared" si="8"/>
        <v>72467.829690000013</v>
      </c>
      <c r="D161" s="303">
        <v>72915.524519999992</v>
      </c>
      <c r="E161" s="303">
        <f t="shared" si="9"/>
        <v>72259.777660000007</v>
      </c>
      <c r="F161" s="303">
        <f t="shared" si="9"/>
        <v>72311.56485000001</v>
      </c>
      <c r="G161" s="303">
        <v>70760.475090000007</v>
      </c>
      <c r="H161" s="303">
        <v>71655.028549999988</v>
      </c>
      <c r="I161" s="303">
        <v>69541.991130000009</v>
      </c>
      <c r="J161" s="304">
        <v>69892.523640000014</v>
      </c>
      <c r="K161" s="304">
        <v>68326.289934979111</v>
      </c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>
        <f t="shared" si="4"/>
        <v>0</v>
      </c>
      <c r="AP161" s="166"/>
      <c r="AQ161" s="165"/>
    </row>
    <row r="162" spans="1:43" s="294" customFormat="1" ht="15.75" x14ac:dyDescent="0.25">
      <c r="A162" s="3" t="s">
        <v>296</v>
      </c>
      <c r="B162" s="301"/>
      <c r="C162" s="301"/>
      <c r="D162" s="301"/>
      <c r="E162" s="301"/>
      <c r="F162" s="301"/>
      <c r="G162" s="301"/>
      <c r="H162" s="301"/>
      <c r="I162" s="301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2"/>
      <c r="AK162" s="302"/>
      <c r="AL162" s="302"/>
      <c r="AM162" s="302"/>
      <c r="AN162" s="302"/>
      <c r="AO162" s="302">
        <f t="shared" si="4"/>
        <v>0</v>
      </c>
      <c r="AP162" s="163"/>
      <c r="AQ162" s="163"/>
    </row>
    <row r="163" spans="1:43" s="294" customFormat="1" ht="15" customHeight="1" x14ac:dyDescent="0.25">
      <c r="A163" s="20" t="s">
        <v>37</v>
      </c>
      <c r="B163" s="303">
        <f>B45+B104</f>
        <v>56549.295700000002</v>
      </c>
      <c r="C163" s="303">
        <f>C45+C104</f>
        <v>56549.295700000002</v>
      </c>
      <c r="D163" s="303">
        <v>56560.945</v>
      </c>
      <c r="E163" s="303">
        <f>E45+E104</f>
        <v>56597.371729999999</v>
      </c>
      <c r="F163" s="303">
        <f>F45+F104</f>
        <v>56602.571900000003</v>
      </c>
      <c r="G163" s="303">
        <v>56628.691930000001</v>
      </c>
      <c r="H163" s="303">
        <v>56500</v>
      </c>
      <c r="I163" s="303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/>
      <c r="AO163" s="304">
        <f t="shared" si="4"/>
        <v>0</v>
      </c>
      <c r="AP163" s="166"/>
      <c r="AQ163" s="165"/>
    </row>
    <row r="164" spans="1:43" s="294" customFormat="1" ht="15" customHeight="1" x14ac:dyDescent="0.25">
      <c r="A164" s="47" t="s">
        <v>38</v>
      </c>
      <c r="B164" s="301">
        <f>B46+B105</f>
        <v>150226.33598</v>
      </c>
      <c r="C164" s="301">
        <f>C46+C105</f>
        <v>148294.22413000002</v>
      </c>
      <c r="D164" s="301">
        <v>145438.22268000001</v>
      </c>
      <c r="E164" s="301">
        <f>E46+E105</f>
        <v>147843.57914999998</v>
      </c>
      <c r="F164" s="301">
        <f>F46+F105</f>
        <v>143993.36451000001</v>
      </c>
      <c r="G164" s="301">
        <v>144570.84548000002</v>
      </c>
      <c r="H164" s="301">
        <v>142626.74135</v>
      </c>
      <c r="I164" s="301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2"/>
      <c r="AB164" s="302"/>
      <c r="AC164" s="302"/>
      <c r="AD164" s="302"/>
      <c r="AE164" s="302"/>
      <c r="AF164" s="302"/>
      <c r="AG164" s="302"/>
      <c r="AH164" s="302"/>
      <c r="AI164" s="302"/>
      <c r="AJ164" s="302"/>
      <c r="AK164" s="302"/>
      <c r="AL164" s="302"/>
      <c r="AM164" s="302"/>
      <c r="AN164" s="302"/>
      <c r="AO164" s="302">
        <f t="shared" si="4"/>
        <v>0</v>
      </c>
      <c r="AP164" s="166"/>
      <c r="AQ164" s="163"/>
    </row>
    <row r="165" spans="1:43" s="294" customFormat="1" ht="15" customHeight="1" x14ac:dyDescent="0.25">
      <c r="A165" s="19" t="s">
        <v>444</v>
      </c>
      <c r="B165" s="303"/>
      <c r="C165" s="303"/>
      <c r="D165" s="303"/>
      <c r="E165" s="303"/>
      <c r="F165" s="303"/>
      <c r="G165" s="303"/>
      <c r="H165" s="303"/>
      <c r="I165" s="303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304"/>
      <c r="AG165" s="304"/>
      <c r="AH165" s="304"/>
      <c r="AI165" s="304"/>
      <c r="AJ165" s="304"/>
      <c r="AK165" s="304"/>
      <c r="AL165" s="304"/>
      <c r="AM165" s="304"/>
      <c r="AN165" s="304"/>
      <c r="AO165" s="304">
        <f t="shared" si="4"/>
        <v>0</v>
      </c>
      <c r="AP165" s="166"/>
      <c r="AQ165" s="165"/>
    </row>
    <row r="166" spans="1:43" s="294" customFormat="1" ht="15" customHeight="1" x14ac:dyDescent="0.25">
      <c r="A166" s="47" t="s">
        <v>37</v>
      </c>
      <c r="B166" s="301">
        <f>B48+B107</f>
        <v>500574.46296999999</v>
      </c>
      <c r="C166" s="301">
        <v>0</v>
      </c>
      <c r="D166" s="301"/>
      <c r="E166" s="301"/>
      <c r="F166" s="301"/>
      <c r="G166" s="301"/>
      <c r="H166" s="301"/>
      <c r="I166" s="301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2"/>
      <c r="AB166" s="302"/>
      <c r="AC166" s="302"/>
      <c r="AD166" s="302"/>
      <c r="AE166" s="302"/>
      <c r="AF166" s="302"/>
      <c r="AG166" s="302"/>
      <c r="AH166" s="302"/>
      <c r="AI166" s="302"/>
      <c r="AJ166" s="302"/>
      <c r="AK166" s="302"/>
      <c r="AL166" s="302"/>
      <c r="AM166" s="302"/>
      <c r="AN166" s="302"/>
      <c r="AO166" s="302">
        <f t="shared" si="4"/>
        <v>0</v>
      </c>
      <c r="AP166" s="166"/>
      <c r="AQ166" s="163"/>
    </row>
    <row r="167" spans="1:43" s="294" customFormat="1" ht="15" customHeight="1" x14ac:dyDescent="0.25">
      <c r="A167" s="19" t="s">
        <v>40</v>
      </c>
      <c r="B167" s="303"/>
      <c r="C167" s="303">
        <f>C49+C108</f>
        <v>0</v>
      </c>
      <c r="D167" s="303">
        <v>0</v>
      </c>
      <c r="E167" s="303">
        <v>0</v>
      </c>
      <c r="F167" s="303">
        <v>0</v>
      </c>
      <c r="G167" s="303">
        <v>0</v>
      </c>
      <c r="H167" s="303">
        <v>0</v>
      </c>
      <c r="I167" s="303">
        <v>0</v>
      </c>
      <c r="J167" s="304">
        <v>0</v>
      </c>
      <c r="K167" s="304">
        <v>4412.60671</v>
      </c>
      <c r="L167" s="304">
        <v>4652.9327099999991</v>
      </c>
      <c r="M167" s="304">
        <v>4928.3999999999996</v>
      </c>
      <c r="N167" s="304">
        <v>4718</v>
      </c>
      <c r="O167" s="304">
        <v>2981</v>
      </c>
      <c r="P167" s="304">
        <v>2482</v>
      </c>
      <c r="Q167" s="304">
        <v>2237</v>
      </c>
      <c r="R167" s="304">
        <v>1116</v>
      </c>
      <c r="S167" s="304">
        <v>0</v>
      </c>
      <c r="T167" s="304">
        <v>0</v>
      </c>
      <c r="U167" s="304">
        <v>0</v>
      </c>
      <c r="V167" s="304">
        <v>0</v>
      </c>
      <c r="W167" s="304">
        <v>0</v>
      </c>
      <c r="X167" s="304">
        <v>0</v>
      </c>
      <c r="Y167" s="304">
        <v>0</v>
      </c>
      <c r="Z167" s="304">
        <v>0</v>
      </c>
      <c r="AA167" s="304">
        <v>0</v>
      </c>
      <c r="AB167" s="304">
        <v>0</v>
      </c>
      <c r="AC167" s="304">
        <v>0</v>
      </c>
      <c r="AD167" s="304">
        <v>0</v>
      </c>
      <c r="AE167" s="304">
        <v>0</v>
      </c>
      <c r="AF167" s="304">
        <v>0</v>
      </c>
      <c r="AG167" s="304">
        <v>0</v>
      </c>
      <c r="AH167" s="304">
        <v>0</v>
      </c>
      <c r="AI167" s="304">
        <v>0</v>
      </c>
      <c r="AJ167" s="304">
        <v>0</v>
      </c>
      <c r="AK167" s="304">
        <v>0</v>
      </c>
      <c r="AL167" s="304">
        <v>0</v>
      </c>
      <c r="AM167" s="304">
        <v>0</v>
      </c>
      <c r="AN167" s="304">
        <v>0</v>
      </c>
      <c r="AO167" s="304">
        <f t="shared" si="4"/>
        <v>0</v>
      </c>
      <c r="AP167" s="166"/>
      <c r="AQ167" s="165"/>
    </row>
    <row r="168" spans="1:43" s="294" customFormat="1" ht="15" customHeight="1" x14ac:dyDescent="0.25">
      <c r="A168" s="3" t="s">
        <v>327</v>
      </c>
      <c r="B168" s="301"/>
      <c r="C168" s="301">
        <f>C50+C109</f>
        <v>0</v>
      </c>
      <c r="D168" s="301">
        <v>0</v>
      </c>
      <c r="E168" s="301">
        <v>0</v>
      </c>
      <c r="F168" s="301">
        <v>0</v>
      </c>
      <c r="G168" s="301">
        <v>0</v>
      </c>
      <c r="H168" s="301">
        <v>0</v>
      </c>
      <c r="I168" s="301">
        <v>0</v>
      </c>
      <c r="J168" s="302">
        <v>0</v>
      </c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  <c r="AA168" s="302"/>
      <c r="AB168" s="302"/>
      <c r="AC168" s="302"/>
      <c r="AD168" s="302"/>
      <c r="AE168" s="302"/>
      <c r="AF168" s="302"/>
      <c r="AG168" s="302"/>
      <c r="AH168" s="302"/>
      <c r="AI168" s="302"/>
      <c r="AJ168" s="302"/>
      <c r="AK168" s="302"/>
      <c r="AL168" s="302"/>
      <c r="AM168" s="302"/>
      <c r="AN168" s="302"/>
      <c r="AO168" s="302">
        <f t="shared" si="4"/>
        <v>0</v>
      </c>
      <c r="AP168" s="166"/>
      <c r="AQ168" s="163"/>
    </row>
    <row r="169" spans="1:43" s="294" customFormat="1" ht="15" customHeight="1" x14ac:dyDescent="0.25">
      <c r="A169" s="19" t="s">
        <v>328</v>
      </c>
      <c r="B169" s="303"/>
      <c r="C169" s="303">
        <f>C51+C110</f>
        <v>0</v>
      </c>
      <c r="D169" s="303">
        <v>0</v>
      </c>
      <c r="E169" s="303">
        <v>0</v>
      </c>
      <c r="F169" s="303">
        <v>0</v>
      </c>
      <c r="G169" s="303">
        <v>0</v>
      </c>
      <c r="H169" s="303">
        <v>0</v>
      </c>
      <c r="I169" s="303">
        <v>0</v>
      </c>
      <c r="J169" s="304">
        <v>0</v>
      </c>
      <c r="K169" s="304">
        <v>0</v>
      </c>
      <c r="L169" s="304">
        <v>0</v>
      </c>
      <c r="M169" s="304">
        <v>0</v>
      </c>
      <c r="N169" s="304">
        <v>0</v>
      </c>
      <c r="O169" s="304">
        <v>0</v>
      </c>
      <c r="P169" s="304">
        <v>0</v>
      </c>
      <c r="Q169" s="304">
        <v>0</v>
      </c>
      <c r="R169" s="304">
        <v>0</v>
      </c>
      <c r="S169" s="304">
        <v>0</v>
      </c>
      <c r="T169" s="304">
        <v>0</v>
      </c>
      <c r="U169" s="304">
        <v>0</v>
      </c>
      <c r="V169" s="304">
        <v>0</v>
      </c>
      <c r="W169" s="304">
        <v>0</v>
      </c>
      <c r="X169" s="304">
        <v>0</v>
      </c>
      <c r="Y169" s="304">
        <v>0</v>
      </c>
      <c r="Z169" s="304">
        <v>0</v>
      </c>
      <c r="AA169" s="304">
        <v>0</v>
      </c>
      <c r="AB169" s="304">
        <v>0</v>
      </c>
      <c r="AC169" s="304">
        <v>0</v>
      </c>
      <c r="AD169" s="304">
        <v>0</v>
      </c>
      <c r="AE169" s="304">
        <v>0</v>
      </c>
      <c r="AF169" s="304">
        <v>0</v>
      </c>
      <c r="AG169" s="304">
        <v>0</v>
      </c>
      <c r="AH169" s="304">
        <v>0</v>
      </c>
      <c r="AI169" s="304">
        <v>0</v>
      </c>
      <c r="AJ169" s="304">
        <v>6817</v>
      </c>
      <c r="AK169" s="304">
        <v>13094</v>
      </c>
      <c r="AL169" s="304">
        <v>19228</v>
      </c>
      <c r="AM169" s="304">
        <v>25020</v>
      </c>
      <c r="AN169" s="304">
        <v>30504</v>
      </c>
      <c r="AO169" s="304">
        <f t="shared" si="4"/>
        <v>35805</v>
      </c>
      <c r="AP169" s="166"/>
      <c r="AQ169" s="165"/>
    </row>
    <row r="170" spans="1:43" s="294" customFormat="1" ht="15" customHeight="1" x14ac:dyDescent="0.25">
      <c r="A170" s="3" t="s">
        <v>339</v>
      </c>
      <c r="B170" s="301">
        <f>B111+B52</f>
        <v>4669.3251600000003</v>
      </c>
      <c r="C170" s="301">
        <f>C52+C111</f>
        <v>11229.58064</v>
      </c>
      <c r="D170" s="301">
        <v>17657.421329999997</v>
      </c>
      <c r="E170" s="301">
        <f>E52+E111</f>
        <v>24134.156590000002</v>
      </c>
      <c r="F170" s="301">
        <f>F52+F111</f>
        <v>30001.46515</v>
      </c>
      <c r="G170" s="301">
        <v>36055.266239999997</v>
      </c>
      <c r="H170" s="301">
        <v>42056.30227</v>
      </c>
      <c r="I170" s="301">
        <v>47300.313559999995</v>
      </c>
      <c r="J170" s="302">
        <v>52713.069349999998</v>
      </c>
      <c r="K170" s="302">
        <v>58149.130349999992</v>
      </c>
      <c r="L170" s="302">
        <v>62666.091249999998</v>
      </c>
      <c r="M170" s="302">
        <v>67705.600000000006</v>
      </c>
      <c r="N170" s="302">
        <v>72599</v>
      </c>
      <c r="O170" s="302">
        <v>77512</v>
      </c>
      <c r="P170" s="302">
        <v>82766</v>
      </c>
      <c r="Q170" s="302">
        <v>87271</v>
      </c>
      <c r="R170" s="302">
        <v>91593</v>
      </c>
      <c r="S170" s="302">
        <v>96214</v>
      </c>
      <c r="T170" s="302">
        <v>99515</v>
      </c>
      <c r="U170" s="302">
        <v>102155</v>
      </c>
      <c r="V170" s="302">
        <v>103213</v>
      </c>
      <c r="W170" s="302">
        <v>105296</v>
      </c>
      <c r="X170" s="302">
        <v>107633</v>
      </c>
      <c r="Y170" s="302">
        <v>108216</v>
      </c>
      <c r="Z170" s="302">
        <v>108763</v>
      </c>
      <c r="AA170" s="302">
        <v>111093</v>
      </c>
      <c r="AB170" s="302">
        <v>114036</v>
      </c>
      <c r="AC170" s="302">
        <v>115118</v>
      </c>
      <c r="AD170" s="302">
        <v>116159</v>
      </c>
      <c r="AE170" s="302">
        <v>118188</v>
      </c>
      <c r="AF170" s="302">
        <v>121094</v>
      </c>
      <c r="AG170" s="302">
        <v>122809</v>
      </c>
      <c r="AH170" s="302">
        <v>122941</v>
      </c>
      <c r="AI170" s="302">
        <v>123730</v>
      </c>
      <c r="AJ170" s="302">
        <v>125281</v>
      </c>
      <c r="AK170" s="302">
        <v>126537</v>
      </c>
      <c r="AL170" s="302">
        <v>127566</v>
      </c>
      <c r="AM170" s="302">
        <v>132203</v>
      </c>
      <c r="AN170" s="302">
        <v>134118</v>
      </c>
      <c r="AO170" s="302">
        <f t="shared" si="4"/>
        <v>133858</v>
      </c>
      <c r="AP170" s="166"/>
      <c r="AQ170" s="163"/>
    </row>
    <row r="171" spans="1:43" s="294" customFormat="1" ht="15" customHeight="1" x14ac:dyDescent="0.25">
      <c r="A171" s="19"/>
      <c r="B171" s="303"/>
      <c r="C171" s="303"/>
      <c r="D171" s="303"/>
      <c r="E171" s="303"/>
      <c r="F171" s="303"/>
      <c r="G171" s="303"/>
      <c r="H171" s="303"/>
      <c r="I171" s="303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304"/>
      <c r="AA171" s="304"/>
      <c r="AB171" s="304"/>
      <c r="AC171" s="304"/>
      <c r="AD171" s="304"/>
      <c r="AE171" s="304"/>
      <c r="AF171" s="304"/>
      <c r="AG171" s="304"/>
      <c r="AH171" s="304"/>
      <c r="AI171" s="304"/>
      <c r="AJ171" s="304"/>
      <c r="AK171" s="304"/>
      <c r="AL171" s="304"/>
      <c r="AM171" s="304"/>
      <c r="AN171" s="304"/>
      <c r="AO171" s="304"/>
      <c r="AP171" s="166"/>
      <c r="AQ171" s="165"/>
    </row>
    <row r="172" spans="1:43" s="343" customFormat="1" ht="15.75" x14ac:dyDescent="0.25">
      <c r="A172" s="170" t="s">
        <v>368</v>
      </c>
      <c r="B172" s="305">
        <f>SUM(B125:B171)</f>
        <v>3452074.3195400001</v>
      </c>
      <c r="C172" s="305">
        <f>SUM(C125:C171)</f>
        <v>2943449.6107799998</v>
      </c>
      <c r="D172" s="305">
        <f>SUM(D125:D171)</f>
        <v>2941702.2770500001</v>
      </c>
      <c r="E172" s="305">
        <f>SUM(E125:E170)</f>
        <v>2990257.3462799992</v>
      </c>
      <c r="F172" s="305">
        <f>SUM(F125:F170)</f>
        <v>3043865.1902600005</v>
      </c>
      <c r="G172" s="305">
        <f>SUM(G125:G170)</f>
        <v>3075071.6530800005</v>
      </c>
      <c r="H172" s="305">
        <v>3200121.042559999</v>
      </c>
      <c r="I172" s="305">
        <v>3140463.30455</v>
      </c>
      <c r="J172" s="127">
        <f>SUM(J125:J171)</f>
        <v>3257359.4401099999</v>
      </c>
      <c r="K172" s="127">
        <f>SUM(K125:K171)</f>
        <v>3171131.2634316767</v>
      </c>
      <c r="L172" s="127">
        <f>SUM(L125:L171)</f>
        <v>2917417.5121256043</v>
      </c>
      <c r="M172" s="127">
        <f>SUM(M125:M171)</f>
        <v>3018084.1</v>
      </c>
      <c r="N172" s="127">
        <v>2889417</v>
      </c>
      <c r="O172" s="127">
        <v>2941071</v>
      </c>
      <c r="P172" s="127">
        <v>3053352</v>
      </c>
      <c r="Q172" s="127">
        <v>3114919</v>
      </c>
      <c r="R172" s="127">
        <v>3214725</v>
      </c>
      <c r="S172" s="127">
        <v>3228484</v>
      </c>
      <c r="T172" s="127">
        <v>3190220</v>
      </c>
      <c r="U172" s="127">
        <v>3221731</v>
      </c>
      <c r="V172" s="127">
        <v>3283561</v>
      </c>
      <c r="W172" s="127">
        <v>3403662</v>
      </c>
      <c r="X172" s="127">
        <v>3163012</v>
      </c>
      <c r="Y172" s="127">
        <v>3193397</v>
      </c>
      <c r="Z172" s="127">
        <v>3256671</v>
      </c>
      <c r="AA172" s="127">
        <v>3069808</v>
      </c>
      <c r="AB172" s="127">
        <v>3154480</v>
      </c>
      <c r="AC172" s="127">
        <v>3035311</v>
      </c>
      <c r="AD172" s="127">
        <v>3145092</v>
      </c>
      <c r="AE172" s="127">
        <v>3030016</v>
      </c>
      <c r="AF172" s="127">
        <v>3097112</v>
      </c>
      <c r="AG172" s="127">
        <v>3069264</v>
      </c>
      <c r="AH172" s="127">
        <v>3119930</v>
      </c>
      <c r="AI172" s="127">
        <v>3066760</v>
      </c>
      <c r="AJ172" s="127">
        <v>3107795</v>
      </c>
      <c r="AK172" s="127">
        <v>3290895</v>
      </c>
      <c r="AL172" s="127">
        <f>SUM(AL125:AL171)</f>
        <v>2897149</v>
      </c>
      <c r="AM172" s="127">
        <f>SUM(AM125:AM171)</f>
        <v>2536174</v>
      </c>
      <c r="AN172" s="127">
        <f>SUM(AN125:AN171)</f>
        <v>2369404</v>
      </c>
      <c r="AO172" s="127">
        <f>SUM(AO125:AO171)</f>
        <v>2264065.1119999997</v>
      </c>
      <c r="AP172" s="329"/>
      <c r="AQ172" s="170"/>
    </row>
    <row r="173" spans="1:43" s="294" customFormat="1" ht="15.75" x14ac:dyDescent="0.25">
      <c r="A173" s="33"/>
      <c r="B173" s="33"/>
      <c r="C173" s="33"/>
      <c r="D173" s="33"/>
      <c r="E173" s="33"/>
      <c r="F173" s="301"/>
      <c r="G173" s="301"/>
      <c r="H173" s="301"/>
      <c r="I173" s="301"/>
      <c r="J173" s="302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163"/>
      <c r="AQ173" s="163"/>
    </row>
    <row r="174" spans="1:43" s="343" customFormat="1" ht="15.75" x14ac:dyDescent="0.25">
      <c r="A174" s="170" t="s">
        <v>369</v>
      </c>
      <c r="B174" s="305">
        <f>SUM(B176:B178)</f>
        <v>344316.62433999998</v>
      </c>
      <c r="C174" s="305">
        <f>SUM(C176:C178)</f>
        <v>403614.79621</v>
      </c>
      <c r="D174" s="305">
        <f>SUM(D176:D178)</f>
        <v>377514.31662999996</v>
      </c>
      <c r="E174" s="305">
        <f>SUM(E176:E177)</f>
        <v>389642.79183</v>
      </c>
      <c r="F174" s="305">
        <f>SUM(F176:F177)</f>
        <v>303688.82725999999</v>
      </c>
      <c r="G174" s="305">
        <f>SUM(G176:G177)</f>
        <v>335207.61069</v>
      </c>
      <c r="H174" s="305">
        <v>315195.53474000003</v>
      </c>
      <c r="I174" s="305">
        <v>344548.8578</v>
      </c>
      <c r="J174" s="127">
        <f>SUM(J175:J178)</f>
        <v>344735.42579000001</v>
      </c>
      <c r="K174" s="127">
        <f>SUM(K175:K178)</f>
        <v>389278.10339</v>
      </c>
      <c r="L174" s="127">
        <f>SUM(L175:L178)</f>
        <v>373038.96109</v>
      </c>
      <c r="M174" s="127">
        <f>SUM(M175:M178)</f>
        <v>328817.5</v>
      </c>
      <c r="N174" s="127">
        <v>319282.15263000003</v>
      </c>
      <c r="O174" s="127">
        <v>321130.81355999998</v>
      </c>
      <c r="P174" s="127">
        <v>314156.92950000003</v>
      </c>
      <c r="Q174" s="127">
        <v>307034.82757999998</v>
      </c>
      <c r="R174" s="127">
        <v>307302.82946000004</v>
      </c>
      <c r="S174" s="127">
        <v>342677.79284999997</v>
      </c>
      <c r="T174" s="127">
        <v>328789.60674999998</v>
      </c>
      <c r="U174" s="127">
        <v>389518.49130999995</v>
      </c>
      <c r="V174" s="127">
        <v>409566.25683999993</v>
      </c>
      <c r="W174" s="127">
        <v>440852.97411000001</v>
      </c>
      <c r="X174" s="127">
        <v>334993.11374000006</v>
      </c>
      <c r="Y174" s="127">
        <v>346235.43879480485</v>
      </c>
      <c r="Z174" s="127">
        <v>286919</v>
      </c>
      <c r="AA174" s="127">
        <v>202181</v>
      </c>
      <c r="AB174" s="127">
        <v>180184.38</v>
      </c>
      <c r="AC174" s="127">
        <v>171774</v>
      </c>
      <c r="AD174" s="127">
        <v>127332</v>
      </c>
      <c r="AE174" s="127">
        <v>113111</v>
      </c>
      <c r="AF174" s="127">
        <v>94367</v>
      </c>
      <c r="AG174" s="127">
        <v>80597</v>
      </c>
      <c r="AH174" s="127">
        <v>62388</v>
      </c>
      <c r="AI174" s="127">
        <v>60888</v>
      </c>
      <c r="AJ174" s="127">
        <v>57476</v>
      </c>
      <c r="AK174" s="127">
        <v>54429</v>
      </c>
      <c r="AL174" s="127">
        <v>55750</v>
      </c>
      <c r="AM174" s="127">
        <v>58193</v>
      </c>
      <c r="AN174" s="127">
        <v>48945</v>
      </c>
      <c r="AO174" s="127">
        <v>53496</v>
      </c>
      <c r="AP174" s="329"/>
      <c r="AQ174" s="170"/>
    </row>
    <row r="175" spans="1:43" s="294" customFormat="1" ht="15.75" x14ac:dyDescent="0.25">
      <c r="A175" s="129"/>
      <c r="B175" s="129"/>
      <c r="C175" s="129"/>
      <c r="D175" s="129"/>
      <c r="E175" s="129"/>
      <c r="F175" s="301"/>
      <c r="G175" s="301"/>
      <c r="H175" s="301"/>
      <c r="I175" s="301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163"/>
      <c r="AQ175" s="163"/>
    </row>
    <row r="176" spans="1:43" s="294" customFormat="1" ht="15.75" x14ac:dyDescent="0.25">
      <c r="A176" s="19" t="s">
        <v>429</v>
      </c>
      <c r="B176" s="303">
        <f>B58+B117</f>
        <v>131568.14278999998</v>
      </c>
      <c r="C176" s="303">
        <f>C58+C117</f>
        <v>144920.5294</v>
      </c>
      <c r="D176" s="303">
        <v>138025.45680999997</v>
      </c>
      <c r="E176" s="303">
        <f>E58+E117</f>
        <v>133637.59889999998</v>
      </c>
      <c r="F176" s="303">
        <f>F58+F117</f>
        <v>102189.79568000001</v>
      </c>
      <c r="G176" s="303">
        <v>106745.30673</v>
      </c>
      <c r="H176" s="303">
        <v>97105.244949999993</v>
      </c>
      <c r="I176" s="303">
        <v>100006.31703000001</v>
      </c>
      <c r="J176" s="304">
        <v>97948.591780000002</v>
      </c>
      <c r="K176" s="304">
        <v>103165.71157999999</v>
      </c>
      <c r="L176" s="304">
        <v>97651.216889999996</v>
      </c>
      <c r="M176" s="304">
        <v>85122.3</v>
      </c>
      <c r="N176" s="304">
        <v>83767.879660000006</v>
      </c>
      <c r="O176" s="304">
        <v>81218.079359999989</v>
      </c>
      <c r="P176" s="304">
        <v>83609.076650000017</v>
      </c>
      <c r="Q176" s="304">
        <v>80157.088289999985</v>
      </c>
      <c r="R176" s="304">
        <v>82490.421679999999</v>
      </c>
      <c r="S176" s="304">
        <v>82796.021649999995</v>
      </c>
      <c r="T176" s="304">
        <v>81614.693619999991</v>
      </c>
      <c r="U176" s="304">
        <v>91573.572039999999</v>
      </c>
      <c r="V176" s="304">
        <v>98786.670769999997</v>
      </c>
      <c r="W176" s="304">
        <v>101752.76516</v>
      </c>
      <c r="X176" s="304">
        <v>78255.021370000002</v>
      </c>
      <c r="Y176" s="304">
        <v>82464.478420000014</v>
      </c>
      <c r="Z176" s="304">
        <v>67194</v>
      </c>
      <c r="AA176" s="304">
        <v>62690</v>
      </c>
      <c r="AB176" s="304">
        <v>55642.400000000001</v>
      </c>
      <c r="AC176" s="304">
        <v>59605</v>
      </c>
      <c r="AD176" s="304">
        <v>61658</v>
      </c>
      <c r="AE176" s="304">
        <v>60170</v>
      </c>
      <c r="AF176" s="304">
        <v>59346</v>
      </c>
      <c r="AG176" s="304">
        <v>55545</v>
      </c>
      <c r="AH176" s="304">
        <v>56163</v>
      </c>
      <c r="AI176" s="304">
        <v>57697</v>
      </c>
      <c r="AJ176" s="304">
        <v>57476</v>
      </c>
      <c r="AK176" s="304">
        <v>54429</v>
      </c>
      <c r="AL176" s="304">
        <f>AL58+AL117</f>
        <v>55750</v>
      </c>
      <c r="AM176" s="304">
        <f>AM58+AM117</f>
        <v>58193</v>
      </c>
      <c r="AN176" s="304">
        <f>AN58+AN117</f>
        <v>48945</v>
      </c>
      <c r="AO176" s="304">
        <f>AO58+AO117</f>
        <v>53496</v>
      </c>
      <c r="AP176" s="163"/>
      <c r="AQ176" s="165"/>
    </row>
    <row r="177" spans="1:43" s="294" customFormat="1" ht="15.75" x14ac:dyDescent="0.25">
      <c r="A177" s="19" t="s">
        <v>41</v>
      </c>
      <c r="B177" s="303">
        <f>B59+B118</f>
        <v>212748.48154999997</v>
      </c>
      <c r="C177" s="303">
        <f>C59+C118</f>
        <v>258694.26681</v>
      </c>
      <c r="D177" s="303">
        <v>239488.85981999998</v>
      </c>
      <c r="E177" s="303">
        <f>E59+E118</f>
        <v>256005.19292999999</v>
      </c>
      <c r="F177" s="303">
        <f>F59+F118</f>
        <v>201499.03157999998</v>
      </c>
      <c r="G177" s="303">
        <v>228462.30395999999</v>
      </c>
      <c r="H177" s="303">
        <v>218090.28979000001</v>
      </c>
      <c r="I177" s="303">
        <v>244542.54076999999</v>
      </c>
      <c r="J177" s="304">
        <v>246786.83400999999</v>
      </c>
      <c r="K177" s="304">
        <v>286112.39181</v>
      </c>
      <c r="L177" s="304">
        <v>275387.74420000002</v>
      </c>
      <c r="M177" s="304">
        <v>243695.2</v>
      </c>
      <c r="N177" s="304">
        <v>235514.27296999999</v>
      </c>
      <c r="O177" s="304">
        <v>239912.73420000001</v>
      </c>
      <c r="P177" s="304">
        <v>230547.85285</v>
      </c>
      <c r="Q177" s="304">
        <v>226877.73929</v>
      </c>
      <c r="R177" s="304">
        <v>224812.40778000001</v>
      </c>
      <c r="S177" s="304">
        <v>259881.77119999999</v>
      </c>
      <c r="T177" s="304">
        <v>247174.91312999997</v>
      </c>
      <c r="U177" s="304">
        <v>297944.91926999995</v>
      </c>
      <c r="V177" s="304">
        <v>310779.58606999996</v>
      </c>
      <c r="W177" s="304">
        <v>339100.20895</v>
      </c>
      <c r="X177" s="304">
        <v>256738.09237000003</v>
      </c>
      <c r="Y177" s="304">
        <v>263770.96037480485</v>
      </c>
      <c r="Z177" s="304">
        <v>219725</v>
      </c>
      <c r="AA177" s="304">
        <v>139491</v>
      </c>
      <c r="AB177" s="304">
        <v>124541.98000000001</v>
      </c>
      <c r="AC177" s="304">
        <v>112169</v>
      </c>
      <c r="AD177" s="304">
        <v>65674</v>
      </c>
      <c r="AE177" s="304">
        <v>52941</v>
      </c>
      <c r="AF177" s="304">
        <v>35021</v>
      </c>
      <c r="AG177" s="304">
        <v>25052</v>
      </c>
      <c r="AH177" s="304">
        <v>6225</v>
      </c>
      <c r="AI177" s="304">
        <v>3191</v>
      </c>
      <c r="AJ177" s="304">
        <v>0</v>
      </c>
      <c r="AK177" s="304">
        <v>0</v>
      </c>
      <c r="AL177" s="304">
        <v>0</v>
      </c>
      <c r="AM177" s="304">
        <v>0</v>
      </c>
      <c r="AN177" s="304">
        <v>0</v>
      </c>
      <c r="AO177" s="304">
        <v>0</v>
      </c>
      <c r="AP177" s="163"/>
      <c r="AQ177" s="165"/>
    </row>
    <row r="178" spans="1:43" s="294" customFormat="1" ht="15.75" x14ac:dyDescent="0.25">
      <c r="A178" s="129"/>
      <c r="B178" s="129"/>
      <c r="C178" s="129"/>
      <c r="D178" s="129"/>
      <c r="E178" s="129"/>
      <c r="F178" s="301"/>
      <c r="G178" s="301"/>
      <c r="H178" s="301"/>
      <c r="I178" s="301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163"/>
      <c r="AQ178" s="163"/>
    </row>
    <row r="179" spans="1:43" s="343" customFormat="1" ht="15.75" x14ac:dyDescent="0.25">
      <c r="A179" s="170" t="s">
        <v>370</v>
      </c>
      <c r="B179" s="305">
        <f t="shared" ref="B179:H179" si="10">B172+B174</f>
        <v>3796390.9438800002</v>
      </c>
      <c r="C179" s="305">
        <f t="shared" si="10"/>
        <v>3347064.4069899996</v>
      </c>
      <c r="D179" s="305">
        <f t="shared" si="10"/>
        <v>3319216.5936799999</v>
      </c>
      <c r="E179" s="305">
        <f t="shared" si="10"/>
        <v>3379900.1381099992</v>
      </c>
      <c r="F179" s="305">
        <f t="shared" si="10"/>
        <v>3347554.0175200007</v>
      </c>
      <c r="G179" s="305">
        <f t="shared" si="10"/>
        <v>3410279.2637700005</v>
      </c>
      <c r="H179" s="305">
        <f t="shared" si="10"/>
        <v>3515316.5772999991</v>
      </c>
      <c r="I179" s="305">
        <f>I172+I174</f>
        <v>3485012.1623499999</v>
      </c>
      <c r="J179" s="305">
        <f>J172+J174</f>
        <v>3602094.8658999996</v>
      </c>
      <c r="K179" s="305">
        <f>K172+K174</f>
        <v>3560409.3668216765</v>
      </c>
      <c r="L179" s="305">
        <f>L172+L174</f>
        <v>3290456.4732156042</v>
      </c>
      <c r="M179" s="305">
        <f>M172+M174</f>
        <v>3346901.6</v>
      </c>
      <c r="N179" s="305">
        <v>3208699.1526299999</v>
      </c>
      <c r="O179" s="305">
        <v>3262201.8135600002</v>
      </c>
      <c r="P179" s="305">
        <v>3367508.9295000001</v>
      </c>
      <c r="Q179" s="305">
        <v>3421953.8275799998</v>
      </c>
      <c r="R179" s="305">
        <v>3522027.8294600002</v>
      </c>
      <c r="S179" s="305">
        <v>3571161.7928499999</v>
      </c>
      <c r="T179" s="305">
        <v>3519009.6067499998</v>
      </c>
      <c r="U179" s="305">
        <v>3611249.49131</v>
      </c>
      <c r="V179" s="305">
        <v>3693127.2568399999</v>
      </c>
      <c r="W179" s="305">
        <v>3844514.9741099998</v>
      </c>
      <c r="X179" s="305">
        <v>3498005.1137399999</v>
      </c>
      <c r="Y179" s="305">
        <v>3539632.4387948047</v>
      </c>
      <c r="Z179" s="305">
        <v>3543590</v>
      </c>
      <c r="AA179" s="305">
        <v>3271989</v>
      </c>
      <c r="AB179" s="305">
        <v>3334664.38</v>
      </c>
      <c r="AC179" s="305">
        <v>3207085</v>
      </c>
      <c r="AD179" s="305">
        <v>3272424</v>
      </c>
      <c r="AE179" s="305">
        <v>3143127</v>
      </c>
      <c r="AF179" s="305">
        <v>3191479</v>
      </c>
      <c r="AG179" s="305">
        <v>3149861</v>
      </c>
      <c r="AH179" s="305">
        <v>3182318</v>
      </c>
      <c r="AI179" s="305">
        <v>3127648</v>
      </c>
      <c r="AJ179" s="305">
        <v>3165271</v>
      </c>
      <c r="AK179" s="305">
        <v>3345324</v>
      </c>
      <c r="AL179" s="305">
        <f>AL172+AL174</f>
        <v>2952899</v>
      </c>
      <c r="AM179" s="305">
        <f>AM172+AM174</f>
        <v>2594367</v>
      </c>
      <c r="AN179" s="305">
        <f>AN172+AN174</f>
        <v>2418349</v>
      </c>
      <c r="AO179" s="305">
        <f>AO172+AO174</f>
        <v>2317561.1119999997</v>
      </c>
      <c r="AP179" s="329"/>
      <c r="AQ179" s="170"/>
    </row>
    <row r="180" spans="1:43" s="294" customFormat="1" ht="15.75" x14ac:dyDescent="0.25">
      <c r="A180" s="163"/>
      <c r="B180" s="163"/>
      <c r="C180" s="163"/>
      <c r="D180" s="163"/>
      <c r="E180" s="163"/>
      <c r="F180" s="163"/>
      <c r="G180" s="163"/>
      <c r="H180" s="168"/>
      <c r="I180" s="169"/>
      <c r="J180" s="390"/>
      <c r="K180" s="390"/>
      <c r="L180" s="390"/>
      <c r="M180" s="390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68"/>
      <c r="AO180" s="168"/>
      <c r="AP180" s="163"/>
      <c r="AQ180" s="163"/>
    </row>
    <row r="181" spans="1:43" x14ac:dyDescent="0.25">
      <c r="A181" s="130" t="s">
        <v>42</v>
      </c>
      <c r="B181" s="144"/>
      <c r="C181" s="144"/>
      <c r="D181" s="144"/>
      <c r="E181" s="144"/>
      <c r="F181" s="144"/>
      <c r="G181" s="144"/>
      <c r="H181" s="131"/>
      <c r="I181" s="132"/>
      <c r="J181" s="131"/>
      <c r="K181" s="131"/>
      <c r="L181" s="131"/>
      <c r="M181" s="131"/>
      <c r="N181" s="131"/>
      <c r="O181" s="131"/>
      <c r="P181" s="131"/>
      <c r="Q181" s="131"/>
      <c r="R181" s="133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</row>
    <row r="182" spans="1:43" x14ac:dyDescent="0.25">
      <c r="A182" s="134" t="s">
        <v>43</v>
      </c>
      <c r="B182" s="124"/>
      <c r="C182" s="124"/>
      <c r="D182" s="124"/>
      <c r="E182" s="124"/>
      <c r="F182" s="124"/>
      <c r="G182" s="124"/>
      <c r="H182" s="135"/>
      <c r="I182" s="136"/>
      <c r="J182" s="135"/>
      <c r="K182" s="135"/>
      <c r="L182" s="135"/>
      <c r="M182" s="135"/>
      <c r="N182" s="135"/>
      <c r="O182" s="135"/>
      <c r="P182" s="135"/>
      <c r="Q182" s="135"/>
      <c r="R182" s="13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</row>
    <row r="183" spans="1:43" x14ac:dyDescent="0.25">
      <c r="A183" s="134" t="s">
        <v>44</v>
      </c>
      <c r="B183" s="124"/>
      <c r="C183" s="124"/>
      <c r="D183" s="124"/>
      <c r="E183" s="124"/>
      <c r="F183" s="124"/>
      <c r="G183" s="124"/>
      <c r="H183" s="135"/>
      <c r="I183" s="136"/>
      <c r="J183" s="135"/>
      <c r="K183" s="135"/>
      <c r="L183" s="135"/>
      <c r="M183" s="135"/>
      <c r="N183" s="135"/>
      <c r="O183" s="135"/>
      <c r="P183" s="135"/>
      <c r="Q183" s="135"/>
      <c r="R183" s="13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</row>
    <row r="184" spans="1:43" x14ac:dyDescent="0.25">
      <c r="A184" s="134" t="s">
        <v>45</v>
      </c>
      <c r="B184" s="124"/>
      <c r="C184" s="124"/>
      <c r="D184" s="124"/>
      <c r="E184" s="124"/>
      <c r="F184" s="124"/>
      <c r="G184" s="124"/>
      <c r="H184" s="135"/>
      <c r="I184" s="136"/>
      <c r="J184" s="135"/>
      <c r="K184" s="135"/>
      <c r="L184" s="135"/>
      <c r="M184" s="135"/>
      <c r="N184" s="135"/>
      <c r="O184" s="135"/>
      <c r="P184" s="135"/>
      <c r="Q184" s="135"/>
      <c r="R184" s="13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</row>
    <row r="185" spans="1:43" x14ac:dyDescent="0.25">
      <c r="A185" s="138" t="s">
        <v>46</v>
      </c>
      <c r="B185" s="145"/>
      <c r="C185" s="145"/>
      <c r="D185" s="145"/>
      <c r="E185" s="145"/>
      <c r="F185" s="145"/>
      <c r="G185" s="145"/>
      <c r="H185" s="139"/>
      <c r="I185" s="140"/>
      <c r="J185" s="139"/>
      <c r="K185" s="139"/>
      <c r="L185" s="139"/>
      <c r="M185" s="139"/>
      <c r="N185" s="139"/>
      <c r="O185" s="139"/>
      <c r="P185" s="139"/>
      <c r="Q185" s="139"/>
      <c r="R185" s="141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30"/>
      <c r="AQ185" s="30"/>
    </row>
    <row r="186" spans="1:43" x14ac:dyDescent="0.25">
      <c r="A186" s="33"/>
      <c r="B186" s="33"/>
      <c r="C186" s="33"/>
      <c r="D186" s="33"/>
      <c r="E186" s="33"/>
      <c r="F186" s="33"/>
      <c r="G186" s="33"/>
      <c r="H186" s="56"/>
      <c r="I186" s="347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33"/>
    </row>
    <row r="187" spans="1:43" x14ac:dyDescent="0.25">
      <c r="A187" s="33"/>
      <c r="B187" s="33"/>
      <c r="C187" s="33"/>
      <c r="D187" s="33"/>
      <c r="E187" s="33"/>
      <c r="F187" s="33"/>
      <c r="G187" s="33"/>
      <c r="H187" s="56"/>
      <c r="I187" s="347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33"/>
    </row>
  </sheetData>
  <mergeCells count="1">
    <mergeCell ref="J1:U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zoomScale="90" zoomScaleNormal="90" workbookViewId="0"/>
  </sheetViews>
  <sheetFormatPr defaultColWidth="0" defaultRowHeight="15" zeroHeight="1" x14ac:dyDescent="0.25"/>
  <cols>
    <col min="1" max="1" width="45.85546875" customWidth="1"/>
    <col min="2" max="5" width="14.42578125" customWidth="1"/>
    <col min="6" max="8" width="12.28515625" customWidth="1"/>
    <col min="9" max="41" width="9.28515625" customWidth="1"/>
    <col min="42" max="43" width="9.140625" customWidth="1"/>
    <col min="44" max="16384" width="9.140625" hidden="1"/>
  </cols>
  <sheetData>
    <row r="1" spans="1:43" ht="111.75" customHeight="1" x14ac:dyDescent="0.25">
      <c r="A1" s="376"/>
      <c r="B1" s="376"/>
      <c r="C1" s="376"/>
      <c r="D1" s="376"/>
      <c r="E1" s="376"/>
      <c r="F1" s="376"/>
      <c r="G1" s="7"/>
      <c r="H1" s="394" t="s">
        <v>411</v>
      </c>
      <c r="I1" s="394" t="s">
        <v>120</v>
      </c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.75" x14ac:dyDescent="0.25">
      <c r="A2" s="199"/>
      <c r="B2" s="194" t="s">
        <v>443</v>
      </c>
      <c r="C2" s="194" t="s">
        <v>436</v>
      </c>
      <c r="D2" s="194" t="s">
        <v>433</v>
      </c>
      <c r="E2" s="194" t="s">
        <v>422</v>
      </c>
      <c r="F2" s="194" t="s">
        <v>400</v>
      </c>
      <c r="G2" s="194" t="s">
        <v>389</v>
      </c>
      <c r="H2" s="194" t="s">
        <v>225</v>
      </c>
      <c r="I2" s="194" t="s">
        <v>0</v>
      </c>
      <c r="J2" s="194" t="s">
        <v>1</v>
      </c>
      <c r="K2" s="194" t="s">
        <v>2</v>
      </c>
      <c r="L2" s="194" t="s">
        <v>3</v>
      </c>
      <c r="M2" s="194" t="s">
        <v>4</v>
      </c>
      <c r="N2" s="194" t="s">
        <v>5</v>
      </c>
      <c r="O2" s="194" t="s">
        <v>6</v>
      </c>
      <c r="P2" s="194" t="s">
        <v>7</v>
      </c>
      <c r="Q2" s="194" t="s">
        <v>8</v>
      </c>
      <c r="R2" s="194" t="s">
        <v>9</v>
      </c>
      <c r="S2" s="194" t="s">
        <v>10</v>
      </c>
      <c r="T2" s="194" t="s">
        <v>11</v>
      </c>
      <c r="U2" s="194" t="s">
        <v>12</v>
      </c>
      <c r="V2" s="194" t="s">
        <v>13</v>
      </c>
      <c r="W2" s="194" t="s">
        <v>14</v>
      </c>
      <c r="X2" s="194" t="s">
        <v>15</v>
      </c>
      <c r="Y2" s="194" t="s">
        <v>16</v>
      </c>
      <c r="Z2" s="194" t="s">
        <v>17</v>
      </c>
      <c r="AA2" s="194" t="s">
        <v>18</v>
      </c>
      <c r="AB2" s="194" t="s">
        <v>19</v>
      </c>
      <c r="AC2" s="194" t="s">
        <v>20</v>
      </c>
      <c r="AD2" s="194" t="s">
        <v>34</v>
      </c>
      <c r="AE2" s="194" t="s">
        <v>21</v>
      </c>
      <c r="AF2" s="194" t="s">
        <v>22</v>
      </c>
      <c r="AG2" s="194" t="s">
        <v>23</v>
      </c>
      <c r="AH2" s="194" t="s">
        <v>24</v>
      </c>
      <c r="AI2" s="194" t="s">
        <v>25</v>
      </c>
      <c r="AJ2" s="194" t="s">
        <v>26</v>
      </c>
      <c r="AK2" s="194" t="s">
        <v>27</v>
      </c>
      <c r="AL2" s="194" t="s">
        <v>28</v>
      </c>
      <c r="AM2" s="194" t="s">
        <v>29</v>
      </c>
      <c r="AN2" s="194" t="s">
        <v>30</v>
      </c>
      <c r="AO2" s="194" t="s">
        <v>31</v>
      </c>
      <c r="AP2" s="7"/>
      <c r="AQ2" s="7"/>
    </row>
    <row r="3" spans="1:43" ht="15.75" x14ac:dyDescent="0.25">
      <c r="A3" s="121" t="s">
        <v>359</v>
      </c>
      <c r="B3" s="121"/>
      <c r="C3" s="121"/>
      <c r="D3" s="121"/>
      <c r="E3" s="121"/>
      <c r="F3" s="121"/>
      <c r="G3" s="121"/>
      <c r="H3" s="206"/>
      <c r="I3" s="206"/>
      <c r="J3" s="206"/>
      <c r="K3" s="206"/>
      <c r="L3" s="206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7"/>
      <c r="AQ3" s="7"/>
    </row>
    <row r="4" spans="1:43" x14ac:dyDescent="0.25">
      <c r="A4" s="204"/>
      <c r="B4" s="204"/>
      <c r="C4" s="204"/>
      <c r="D4" s="204"/>
      <c r="E4" s="204"/>
      <c r="F4" s="204"/>
      <c r="G4" s="204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7"/>
      <c r="AQ4" s="7"/>
    </row>
    <row r="5" spans="1:43" x14ac:dyDescent="0.25">
      <c r="A5" s="33" t="s">
        <v>386</v>
      </c>
      <c r="B5" s="200">
        <f>(DRE!B5+DRE!B6+DRE!B7)/1000</f>
        <v>1344.6849999999999</v>
      </c>
      <c r="C5" s="200">
        <f>(DRE!C5+DRE!C6+DRE!C7)/1000</f>
        <v>1274.8320000000001</v>
      </c>
      <c r="D5" s="200">
        <f>(DRE!D5+DRE!D6+DRE!D7)/1000</f>
        <v>1185.8219999999999</v>
      </c>
      <c r="E5" s="200">
        <f>(DRE!E5+DRE!E6+DRE!E7)/1000</f>
        <v>1209.7380000000001</v>
      </c>
      <c r="F5" s="200">
        <f>(DRE!F5+DRE!F6+DRE!F7)/1000</f>
        <v>1292.0250000000001</v>
      </c>
      <c r="G5" s="200">
        <f>(DRE!G5+DRE!G6+DRE!G7)/1000</f>
        <v>1201.789</v>
      </c>
      <c r="H5" s="200">
        <v>1086.318</v>
      </c>
      <c r="I5" s="200">
        <v>1105.1510000000001</v>
      </c>
      <c r="J5" s="201">
        <v>1090.9100000000001</v>
      </c>
      <c r="K5" s="201">
        <v>1034.288</v>
      </c>
      <c r="L5" s="201">
        <f>(DRE!L5+DRE!L6+DRE!L7)/1000</f>
        <v>1019.366</v>
      </c>
      <c r="M5" s="201">
        <v>1027.5999999999999</v>
      </c>
      <c r="N5" s="201">
        <v>1055.2</v>
      </c>
      <c r="O5" s="201">
        <v>1030.0999999999999</v>
      </c>
      <c r="P5" s="201">
        <v>933.6</v>
      </c>
      <c r="Q5" s="201">
        <v>978.7</v>
      </c>
      <c r="R5" s="201">
        <v>948.5</v>
      </c>
      <c r="S5" s="201">
        <v>972.2</v>
      </c>
      <c r="T5" s="201">
        <v>892.1</v>
      </c>
      <c r="U5" s="201">
        <v>830.8</v>
      </c>
      <c r="V5" s="201">
        <v>864</v>
      </c>
      <c r="W5" s="201">
        <v>800</v>
      </c>
      <c r="X5" s="201">
        <v>745.1</v>
      </c>
      <c r="Y5" s="201">
        <v>735.1</v>
      </c>
      <c r="Z5" s="201">
        <v>783.7</v>
      </c>
      <c r="AA5" s="201">
        <v>790.6</v>
      </c>
      <c r="AB5" s="201">
        <v>768.6</v>
      </c>
      <c r="AC5" s="201">
        <v>789.3</v>
      </c>
      <c r="AD5" s="201">
        <v>780.3</v>
      </c>
      <c r="AE5" s="201">
        <v>770.6</v>
      </c>
      <c r="AF5" s="201">
        <v>725.8</v>
      </c>
      <c r="AG5" s="201">
        <v>730.9</v>
      </c>
      <c r="AH5" s="201">
        <v>743.5</v>
      </c>
      <c r="AI5" s="201">
        <v>710.7</v>
      </c>
      <c r="AJ5" s="201">
        <v>654.79999999999995</v>
      </c>
      <c r="AK5" s="201">
        <v>659.3</v>
      </c>
      <c r="AL5" s="201">
        <v>637.9</v>
      </c>
      <c r="AM5" s="201">
        <v>661.7</v>
      </c>
      <c r="AN5" s="201">
        <v>611.70000000000005</v>
      </c>
      <c r="AO5" s="201">
        <v>598.29999999999995</v>
      </c>
      <c r="AP5" s="7"/>
      <c r="AQ5" s="7"/>
    </row>
    <row r="6" spans="1:43" x14ac:dyDescent="0.25">
      <c r="A6" s="30" t="s">
        <v>357</v>
      </c>
      <c r="B6" s="202">
        <f>DRE!B16/1000</f>
        <v>664.74900000000002</v>
      </c>
      <c r="C6" s="202">
        <f>DRE!C16/1000</f>
        <v>623.42999999999995</v>
      </c>
      <c r="D6" s="202">
        <f>DRE!D16/1000</f>
        <v>545.04</v>
      </c>
      <c r="E6" s="202">
        <f>DRE!E16/1000</f>
        <v>574.81700000000001</v>
      </c>
      <c r="F6" s="202">
        <f>DRE!F16/1000</f>
        <v>636.88499999999999</v>
      </c>
      <c r="G6" s="202">
        <f>DRE!G16/1000</f>
        <v>568.18100000000004</v>
      </c>
      <c r="H6" s="202">
        <v>478.23399999999998</v>
      </c>
      <c r="I6" s="202">
        <v>515.66</v>
      </c>
      <c r="J6" s="203">
        <v>493.18700000000001</v>
      </c>
      <c r="K6" s="203">
        <v>423.73599999999999</v>
      </c>
      <c r="L6" s="203">
        <v>451.93900000000002</v>
      </c>
      <c r="M6" s="203">
        <v>487.1</v>
      </c>
      <c r="N6" s="203">
        <v>477</v>
      </c>
      <c r="O6" s="203">
        <v>430.5</v>
      </c>
      <c r="P6" s="203">
        <v>464.9</v>
      </c>
      <c r="Q6" s="203">
        <v>466.3</v>
      </c>
      <c r="R6" s="203">
        <v>419.3</v>
      </c>
      <c r="S6" s="203">
        <v>458.8</v>
      </c>
      <c r="T6" s="203">
        <v>317</v>
      </c>
      <c r="U6" s="203">
        <v>352.2</v>
      </c>
      <c r="V6" s="203">
        <v>292.5</v>
      </c>
      <c r="W6" s="203">
        <v>308.2</v>
      </c>
      <c r="X6" s="203">
        <v>256</v>
      </c>
      <c r="Y6" s="203">
        <v>280.7</v>
      </c>
      <c r="Z6" s="203">
        <v>328</v>
      </c>
      <c r="AA6" s="203">
        <v>370.3</v>
      </c>
      <c r="AB6" s="203">
        <v>343.2</v>
      </c>
      <c r="AC6" s="203">
        <v>374.1</v>
      </c>
      <c r="AD6" s="203">
        <v>356.7</v>
      </c>
      <c r="AE6" s="203">
        <v>344.6</v>
      </c>
      <c r="AF6" s="203">
        <v>334.7</v>
      </c>
      <c r="AG6" s="203">
        <v>355.7</v>
      </c>
      <c r="AH6" s="203">
        <v>347.4</v>
      </c>
      <c r="AI6" s="203">
        <v>360.4</v>
      </c>
      <c r="AJ6" s="203">
        <v>307.10000000000002</v>
      </c>
      <c r="AK6" s="203">
        <v>339</v>
      </c>
      <c r="AL6" s="203">
        <v>316.89999999999998</v>
      </c>
      <c r="AM6" s="203">
        <v>347.2</v>
      </c>
      <c r="AN6" s="203">
        <v>320.89999999999998</v>
      </c>
      <c r="AO6" s="203">
        <v>322</v>
      </c>
      <c r="AP6" s="7"/>
      <c r="AQ6" s="7"/>
    </row>
    <row r="7" spans="1:43" x14ac:dyDescent="0.25">
      <c r="A7" s="33" t="s">
        <v>358</v>
      </c>
      <c r="B7" s="200">
        <f>DRE!B38/1000</f>
        <v>268.75400000000002</v>
      </c>
      <c r="C7" s="200">
        <f>DRE!C38/1000</f>
        <v>240.54300000000001</v>
      </c>
      <c r="D7" s="200">
        <f>DRE!D38/1000</f>
        <v>146.345</v>
      </c>
      <c r="E7" s="200">
        <f>DRE!E38/1000</f>
        <v>160.83500000000001</v>
      </c>
      <c r="F7" s="200">
        <f>DRE!F38/1000</f>
        <v>255.28700000000001</v>
      </c>
      <c r="G7" s="200">
        <f>DRE!G38/1000</f>
        <v>193.29300000000001</v>
      </c>
      <c r="H7" s="200">
        <v>119.059</v>
      </c>
      <c r="I7" s="200">
        <v>186.73500000000001</v>
      </c>
      <c r="J7" s="201">
        <v>178.00299999999999</v>
      </c>
      <c r="K7" s="201">
        <v>126.312</v>
      </c>
      <c r="L7" s="201">
        <v>110.152</v>
      </c>
      <c r="M7" s="201">
        <v>164.2</v>
      </c>
      <c r="N7" s="201">
        <v>150.80000000000001</v>
      </c>
      <c r="O7" s="201">
        <v>149.69999999999999</v>
      </c>
      <c r="P7" s="201">
        <v>110.9</v>
      </c>
      <c r="Q7" s="201">
        <v>149</v>
      </c>
      <c r="R7" s="201">
        <v>131.80000000000001</v>
      </c>
      <c r="S7" s="201">
        <v>109.7</v>
      </c>
      <c r="T7" s="201">
        <v>102.9</v>
      </c>
      <c r="U7" s="201">
        <v>89.8</v>
      </c>
      <c r="V7" s="201">
        <v>-40.799999999999997</v>
      </c>
      <c r="W7" s="201">
        <v>8.9</v>
      </c>
      <c r="X7" s="201">
        <v>3.8</v>
      </c>
      <c r="Y7" s="201">
        <v>16.5</v>
      </c>
      <c r="Z7" s="201">
        <v>21.5</v>
      </c>
      <c r="AA7" s="201">
        <v>98.1</v>
      </c>
      <c r="AB7" s="201">
        <v>81.900000000000006</v>
      </c>
      <c r="AC7" s="201">
        <v>116.6</v>
      </c>
      <c r="AD7" s="201">
        <v>101.3</v>
      </c>
      <c r="AE7" s="201">
        <v>125.8</v>
      </c>
      <c r="AF7" s="201">
        <v>76.2</v>
      </c>
      <c r="AG7" s="201">
        <v>116.4</v>
      </c>
      <c r="AH7" s="201">
        <v>124.8</v>
      </c>
      <c r="AI7" s="201">
        <v>126.8</v>
      </c>
      <c r="AJ7" s="201">
        <v>107.1</v>
      </c>
      <c r="AK7" s="201">
        <v>124.4</v>
      </c>
      <c r="AL7" s="201">
        <v>105.6</v>
      </c>
      <c r="AM7" s="201">
        <v>120.1</v>
      </c>
      <c r="AN7" s="201">
        <v>114.5</v>
      </c>
      <c r="AO7" s="201">
        <v>130.19999999999999</v>
      </c>
      <c r="AP7" s="7"/>
      <c r="AQ7" s="7"/>
    </row>
    <row r="8" spans="1:43" x14ac:dyDescent="0.25">
      <c r="A8" s="30"/>
      <c r="B8" s="30"/>
      <c r="C8" s="30"/>
      <c r="D8" s="30"/>
      <c r="E8" s="30"/>
      <c r="F8" s="202"/>
      <c r="G8" s="202"/>
      <c r="H8" s="202"/>
      <c r="I8" s="202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7"/>
      <c r="AQ8" s="7"/>
    </row>
    <row r="9" spans="1:43" ht="15.75" x14ac:dyDescent="0.25">
      <c r="A9" s="121" t="s">
        <v>360</v>
      </c>
      <c r="B9" s="121"/>
      <c r="C9" s="121"/>
      <c r="D9" s="121"/>
      <c r="E9" s="121"/>
      <c r="F9" s="206"/>
      <c r="G9" s="206"/>
      <c r="H9" s="206"/>
      <c r="I9" s="206"/>
      <c r="J9" s="206"/>
      <c r="K9" s="206"/>
      <c r="L9" s="206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7"/>
      <c r="AQ9" s="7"/>
    </row>
    <row r="10" spans="1:43" x14ac:dyDescent="0.25">
      <c r="A10" s="13"/>
      <c r="B10" s="13"/>
      <c r="C10" s="13"/>
      <c r="D10" s="13"/>
      <c r="E10" s="13"/>
      <c r="F10" s="150"/>
      <c r="G10" s="150"/>
      <c r="H10" s="150"/>
      <c r="I10" s="150"/>
      <c r="J10" s="150"/>
      <c r="K10" s="150"/>
      <c r="L10" s="150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7"/>
      <c r="AQ10" s="7"/>
    </row>
    <row r="11" spans="1:43" x14ac:dyDescent="0.25">
      <c r="A11" s="5" t="s">
        <v>349</v>
      </c>
      <c r="B11" s="202">
        <f>BalancoPatrimonial!B47/1000</f>
        <v>11762.554</v>
      </c>
      <c r="C11" s="202">
        <f>BalancoPatrimonial!C47/1000</f>
        <v>12028.634</v>
      </c>
      <c r="D11" s="202">
        <f>BalancoPatrimonial!D47/1000</f>
        <v>11854.115</v>
      </c>
      <c r="E11" s="202">
        <f>BalancoPatrimonial!E47/1000</f>
        <v>11694.504000000001</v>
      </c>
      <c r="F11" s="202">
        <f>BalancoPatrimonial!F47/1000</f>
        <v>11520.769</v>
      </c>
      <c r="G11" s="202">
        <f>BalancoPatrimonial!G47/1000</f>
        <v>11448.843999999999</v>
      </c>
      <c r="H11" s="202">
        <f>BalancoPatrimonial!H101/1000</f>
        <v>11382.091</v>
      </c>
      <c r="I11" s="202">
        <f>BalancoPatrimonial!I101/1000</f>
        <v>11230.763000000001</v>
      </c>
      <c r="J11" s="202">
        <f>BalancoPatrimonial!J101/1000</f>
        <v>11165.962</v>
      </c>
      <c r="K11" s="202">
        <f>BalancoPatrimonial!K101/1000</f>
        <v>11084.638000000001</v>
      </c>
      <c r="L11" s="202">
        <f>BalancoPatrimonial!L101/1000</f>
        <v>10701.499</v>
      </c>
      <c r="M11" s="202">
        <f>BalancoPatrimonial!M101/1000</f>
        <v>11015.388999999999</v>
      </c>
      <c r="N11" s="202">
        <f>BalancoPatrimonial!N101/1000</f>
        <v>10801.093000000001</v>
      </c>
      <c r="O11" s="202">
        <f>BalancoPatrimonial!O101/1000</f>
        <v>10969.232</v>
      </c>
      <c r="P11" s="202">
        <f>BalancoPatrimonial!P101/1000</f>
        <v>10916.918</v>
      </c>
      <c r="Q11" s="202">
        <f>BalancoPatrimonial!Q101/1000</f>
        <v>10933.028</v>
      </c>
      <c r="R11" s="202">
        <f>BalancoPatrimonial!R101/1000</f>
        <v>10940.114</v>
      </c>
      <c r="S11" s="202">
        <f>BalancoPatrimonial!S101/1000</f>
        <v>10957.142</v>
      </c>
      <c r="T11" s="202">
        <f>BalancoPatrimonial!T101/1000</f>
        <v>10734.067999999999</v>
      </c>
      <c r="U11" s="202">
        <f>BalancoPatrimonial!U101/1000</f>
        <v>10748.7</v>
      </c>
      <c r="V11" s="202">
        <f>BalancoPatrimonial!V101/1000</f>
        <v>10938.168</v>
      </c>
      <c r="W11" s="202">
        <f>BalancoPatrimonial!W101/1000</f>
        <v>10881.370999999999</v>
      </c>
      <c r="X11" s="202">
        <f>BalancoPatrimonial!X101/1000</f>
        <v>10419.795</v>
      </c>
      <c r="Y11" s="202">
        <f>BalancoPatrimonial!Y101/1000</f>
        <v>10243.432000000001</v>
      </c>
      <c r="Z11" s="202">
        <f>BalancoPatrimonial!Z101/1000</f>
        <v>10154.641</v>
      </c>
      <c r="AA11" s="202">
        <f>BalancoPatrimonial!AA101/1000</f>
        <v>9800.8765000000003</v>
      </c>
      <c r="AB11" s="202">
        <f>BalancoPatrimonial!AB101/1000</f>
        <v>9634.1029999999992</v>
      </c>
      <c r="AC11" s="202">
        <f>BalancoPatrimonial!AC101/1000</f>
        <v>9514.9689999999991</v>
      </c>
      <c r="AD11" s="202">
        <f>BalancoPatrimonial!AD101/1000</f>
        <v>9456.3009999999995</v>
      </c>
      <c r="AE11" s="202">
        <f>BalancoPatrimonial!AE101/1000</f>
        <v>9370.25</v>
      </c>
      <c r="AF11" s="202">
        <f>BalancoPatrimonial!AF101/1000</f>
        <v>9324.7780000000002</v>
      </c>
      <c r="AG11" s="202">
        <f>BalancoPatrimonial!AG101/1000</f>
        <v>9456.3009999999995</v>
      </c>
      <c r="AH11" s="202">
        <f>BalancoPatrimonial!AH101/1000</f>
        <v>8992.6880000000001</v>
      </c>
      <c r="AI11" s="202">
        <f>BalancoPatrimonial!AI101/1000</f>
        <v>8976.3619999999992</v>
      </c>
      <c r="AJ11" s="202">
        <f>BalancoPatrimonial!AJ101/1000</f>
        <v>8897.098</v>
      </c>
      <c r="AK11" s="202">
        <f>BalancoPatrimonial!AK101/1000</f>
        <v>8822.1919999999991</v>
      </c>
      <c r="AL11" s="202">
        <f>BalancoPatrimonial!AL101/1000</f>
        <v>8274.2009999999991</v>
      </c>
      <c r="AM11" s="202">
        <f>BalancoPatrimonial!AM101/1000</f>
        <v>7851.3459999999995</v>
      </c>
      <c r="AN11" s="202">
        <f>BalancoPatrimonial!AN101/1000</f>
        <v>7564.5810000000001</v>
      </c>
      <c r="AO11" s="202">
        <f>BalancoPatrimonial!AO101/1000</f>
        <v>7436.8450000000003</v>
      </c>
      <c r="AP11" s="7"/>
      <c r="AQ11" s="7"/>
    </row>
    <row r="12" spans="1:43" x14ac:dyDescent="0.25">
      <c r="A12" s="27" t="s">
        <v>350</v>
      </c>
      <c r="B12" s="200">
        <f>BalancoPatrimonial!B18/1000</f>
        <v>1974.4929999999999</v>
      </c>
      <c r="C12" s="200">
        <f>BalancoPatrimonial!C18/1000</f>
        <v>2276.4969999999998</v>
      </c>
      <c r="D12" s="200">
        <f>BalancoPatrimonial!D18/1000</f>
        <v>2145.1370000000002</v>
      </c>
      <c r="E12" s="200">
        <f>BalancoPatrimonial!E18/1000</f>
        <v>2002.866</v>
      </c>
      <c r="F12" s="200">
        <f>BalancoPatrimonial!F18/1000</f>
        <v>1828.0039999999999</v>
      </c>
      <c r="G12" s="200">
        <f>BalancoPatrimonial!G18/1000</f>
        <v>1879.787</v>
      </c>
      <c r="H12" s="200">
        <f>BalancoPatrimonial!H18/1000</f>
        <v>1890.4649999999999</v>
      </c>
      <c r="I12" s="200">
        <f>BalancoPatrimonial!I18/1000</f>
        <v>1827.5050000000001</v>
      </c>
      <c r="J12" s="200">
        <f>BalancoPatrimonial!J18/1000</f>
        <v>1824.998</v>
      </c>
      <c r="K12" s="200">
        <f>BalancoPatrimonial!K18/1000</f>
        <v>1811.654</v>
      </c>
      <c r="L12" s="200">
        <f>BalancoPatrimonial!L18/1000</f>
        <v>1493.8710000000001</v>
      </c>
      <c r="M12" s="200">
        <f>BalancoPatrimonial!M18/1000</f>
        <v>1856.915</v>
      </c>
      <c r="N12" s="200">
        <f>BalancoPatrimonial!N18/1000</f>
        <v>1670.211</v>
      </c>
      <c r="O12" s="200">
        <f>BalancoPatrimonial!O18/1000</f>
        <v>1863.8610000000001</v>
      </c>
      <c r="P12" s="200">
        <f>BalancoPatrimonial!P18/1000</f>
        <v>1749.4380000000001</v>
      </c>
      <c r="Q12" s="200">
        <f>BalancoPatrimonial!Q18/1000</f>
        <v>1731.5340000000001</v>
      </c>
      <c r="R12" s="200">
        <f>BalancoPatrimonial!R18/1000</f>
        <v>1696.499</v>
      </c>
      <c r="S12" s="200">
        <f>BalancoPatrimonial!S18/1000</f>
        <v>1649.9649999999999</v>
      </c>
      <c r="T12" s="200">
        <f>BalancoPatrimonial!T18/1000</f>
        <v>1420.3430000000001</v>
      </c>
      <c r="U12" s="200">
        <f>BalancoPatrimonial!U18/1000</f>
        <v>1341.875</v>
      </c>
      <c r="V12" s="200">
        <f>BalancoPatrimonial!V18/1000</f>
        <v>1479.9739999999999</v>
      </c>
      <c r="W12" s="200">
        <f>BalancoPatrimonial!W18/1000</f>
        <v>1542.23</v>
      </c>
      <c r="X12" s="200">
        <f>BalancoPatrimonial!X18/1000</f>
        <v>1205.271</v>
      </c>
      <c r="Y12" s="200">
        <f>BalancoPatrimonial!Y18/1000</f>
        <v>1099.508</v>
      </c>
      <c r="Z12" s="200">
        <f>BalancoPatrimonial!Z18/1000</f>
        <v>1169.9090000000001</v>
      </c>
      <c r="AA12" s="200">
        <f>BalancoPatrimonial!AA18/1000</f>
        <v>983.15800000000002</v>
      </c>
      <c r="AB12" s="200">
        <f>BalancoPatrimonial!AB18/1000</f>
        <v>1075.1020000000001</v>
      </c>
      <c r="AC12" s="200">
        <f>BalancoPatrimonial!AC18/1000</f>
        <v>1024.5219999999999</v>
      </c>
      <c r="AD12" s="200">
        <f>BalancoPatrimonial!AD18/1000</f>
        <v>1079.7080000000001</v>
      </c>
      <c r="AE12" s="200">
        <f>BalancoPatrimonial!AE18/1000</f>
        <v>1067.7329999999999</v>
      </c>
      <c r="AF12" s="200">
        <f>BalancoPatrimonial!AF18/1000</f>
        <v>1183.6769999999999</v>
      </c>
      <c r="AG12" s="200">
        <f>BalancoPatrimonial!AG18/1000</f>
        <v>1079.7080000000001</v>
      </c>
      <c r="AH12" s="200">
        <f>BalancoPatrimonial!AH18/1000</f>
        <v>1220.1759999999999</v>
      </c>
      <c r="AI12" s="200">
        <f>BalancoPatrimonial!AI18/1000</f>
        <v>1281.79</v>
      </c>
      <c r="AJ12" s="200">
        <f>BalancoPatrimonial!AJ18/1000</f>
        <v>1246.6300000000001</v>
      </c>
      <c r="AK12" s="200">
        <f>BalancoPatrimonial!AK18/1000</f>
        <v>1316.453</v>
      </c>
      <c r="AL12" s="200">
        <f>BalancoPatrimonial!AL18/1000</f>
        <v>814.63</v>
      </c>
      <c r="AM12" s="200">
        <f>BalancoPatrimonial!AM18/1000</f>
        <v>888.11300000000006</v>
      </c>
      <c r="AN12" s="200">
        <f>BalancoPatrimonial!AN18/1000</f>
        <v>715.26</v>
      </c>
      <c r="AO12" s="200">
        <f>BalancoPatrimonial!AO18/1000</f>
        <v>691.88199999999995</v>
      </c>
      <c r="AP12" s="7"/>
      <c r="AQ12" s="7"/>
    </row>
    <row r="13" spans="1:43" x14ac:dyDescent="0.25">
      <c r="A13" s="5" t="s">
        <v>351</v>
      </c>
      <c r="B13" s="202">
        <f>BalancoPatrimonial!B45/1000</f>
        <v>9788.0609999999997</v>
      </c>
      <c r="C13" s="202">
        <f>BalancoPatrimonial!C45/1000</f>
        <v>9752.1370000000006</v>
      </c>
      <c r="D13" s="202">
        <f>BalancoPatrimonial!D45/1000</f>
        <v>9708.9779999999992</v>
      </c>
      <c r="E13" s="202">
        <f>BalancoPatrimonial!E45/1000</f>
        <v>9691.6380000000008</v>
      </c>
      <c r="F13" s="202">
        <f>BalancoPatrimonial!F45/1000</f>
        <v>9692.7649999999994</v>
      </c>
      <c r="G13" s="202">
        <f>BalancoPatrimonial!G45/1000</f>
        <v>9569.0570000000007</v>
      </c>
      <c r="H13" s="202">
        <f>H11-H12</f>
        <v>9491.6260000000002</v>
      </c>
      <c r="I13" s="202">
        <f t="shared" ref="I13:AO13" si="0">I11-I12</f>
        <v>9403.2580000000016</v>
      </c>
      <c r="J13" s="202">
        <f t="shared" si="0"/>
        <v>9340.9639999999999</v>
      </c>
      <c r="K13" s="202">
        <f t="shared" si="0"/>
        <v>9272.9840000000004</v>
      </c>
      <c r="L13" s="202">
        <f t="shared" si="0"/>
        <v>9207.6280000000006</v>
      </c>
      <c r="M13" s="202">
        <f t="shared" si="0"/>
        <v>9158.4739999999983</v>
      </c>
      <c r="N13" s="202">
        <f t="shared" si="0"/>
        <v>9130.8820000000014</v>
      </c>
      <c r="O13" s="202">
        <f t="shared" si="0"/>
        <v>9105.3709999999992</v>
      </c>
      <c r="P13" s="202">
        <f t="shared" si="0"/>
        <v>9167.48</v>
      </c>
      <c r="Q13" s="202">
        <f t="shared" si="0"/>
        <v>9201.4940000000006</v>
      </c>
      <c r="R13" s="202">
        <f t="shared" si="0"/>
        <v>9243.6149999999998</v>
      </c>
      <c r="S13" s="202">
        <f t="shared" si="0"/>
        <v>9307.1769999999997</v>
      </c>
      <c r="T13" s="202">
        <f t="shared" si="0"/>
        <v>9313.7249999999985</v>
      </c>
      <c r="U13" s="202">
        <f t="shared" si="0"/>
        <v>9406.8250000000007</v>
      </c>
      <c r="V13" s="202">
        <f t="shared" si="0"/>
        <v>9458.1939999999995</v>
      </c>
      <c r="W13" s="202">
        <f t="shared" si="0"/>
        <v>9339.1409999999996</v>
      </c>
      <c r="X13" s="202">
        <f t="shared" si="0"/>
        <v>9214.5239999999994</v>
      </c>
      <c r="Y13" s="202">
        <f t="shared" si="0"/>
        <v>9143.9240000000009</v>
      </c>
      <c r="Z13" s="202">
        <f t="shared" si="0"/>
        <v>8984.732</v>
      </c>
      <c r="AA13" s="202">
        <f t="shared" si="0"/>
        <v>8817.7185000000009</v>
      </c>
      <c r="AB13" s="202">
        <f t="shared" si="0"/>
        <v>8559.0009999999984</v>
      </c>
      <c r="AC13" s="202">
        <f t="shared" si="0"/>
        <v>8490.4470000000001</v>
      </c>
      <c r="AD13" s="202">
        <f t="shared" si="0"/>
        <v>8376.5929999999989</v>
      </c>
      <c r="AE13" s="202">
        <f t="shared" si="0"/>
        <v>8302.5169999999998</v>
      </c>
      <c r="AF13" s="202">
        <f t="shared" si="0"/>
        <v>8141.1010000000006</v>
      </c>
      <c r="AG13" s="202">
        <f t="shared" si="0"/>
        <v>8376.5929999999989</v>
      </c>
      <c r="AH13" s="202">
        <f t="shared" si="0"/>
        <v>7772.5120000000006</v>
      </c>
      <c r="AI13" s="202">
        <f t="shared" si="0"/>
        <v>7694.5719999999992</v>
      </c>
      <c r="AJ13" s="202">
        <f t="shared" si="0"/>
        <v>7650.4679999999998</v>
      </c>
      <c r="AK13" s="202">
        <f t="shared" si="0"/>
        <v>7505.7389999999996</v>
      </c>
      <c r="AL13" s="202">
        <f t="shared" si="0"/>
        <v>7459.570999999999</v>
      </c>
      <c r="AM13" s="202">
        <f t="shared" si="0"/>
        <v>6963.2329999999993</v>
      </c>
      <c r="AN13" s="202">
        <f t="shared" si="0"/>
        <v>6849.3209999999999</v>
      </c>
      <c r="AO13" s="202">
        <f t="shared" si="0"/>
        <v>6744.9630000000006</v>
      </c>
      <c r="AP13" s="7"/>
      <c r="AQ13" s="7"/>
    </row>
    <row r="14" spans="1:43" x14ac:dyDescent="0.25">
      <c r="A14" s="27" t="s">
        <v>352</v>
      </c>
      <c r="B14" s="200">
        <f>BalancoPatrimonial!B69/1000</f>
        <v>1378.86</v>
      </c>
      <c r="C14" s="200">
        <f>BalancoPatrimonial!C69/1000</f>
        <v>1467.598</v>
      </c>
      <c r="D14" s="200">
        <f>BalancoPatrimonial!D69/1000</f>
        <v>1215.5519999999999</v>
      </c>
      <c r="E14" s="200">
        <f>BalancoPatrimonial!E69/1000</f>
        <v>1146.5229999999999</v>
      </c>
      <c r="F14" s="200">
        <f>BalancoPatrimonial!F69/1000</f>
        <v>1110.25</v>
      </c>
      <c r="G14" s="200">
        <f>BalancoPatrimonial!G69/1000</f>
        <v>1157.6510000000001</v>
      </c>
      <c r="H14" s="200">
        <f>BalancoPatrimonial!H69/1000</f>
        <v>1163.81</v>
      </c>
      <c r="I14" s="200">
        <f>BalancoPatrimonial!I69/1000</f>
        <v>1298.5740000000001</v>
      </c>
      <c r="J14" s="200">
        <f>BalancoPatrimonial!J69/1000</f>
        <v>1328.5830000000001</v>
      </c>
      <c r="K14" s="200">
        <f>BalancoPatrimonial!K69/1000</f>
        <v>1319.2360000000001</v>
      </c>
      <c r="L14" s="200">
        <f>BalancoPatrimonial!L69/1000</f>
        <v>1401.729</v>
      </c>
      <c r="M14" s="200">
        <f>BalancoPatrimonial!M69/1000</f>
        <v>1287.4369999999999</v>
      </c>
      <c r="N14" s="200">
        <f>BalancoPatrimonial!N69/1000</f>
        <v>1246.97</v>
      </c>
      <c r="O14" s="200">
        <f>BalancoPatrimonial!O69/1000</f>
        <v>1286.0509999999999</v>
      </c>
      <c r="P14" s="200">
        <f>BalancoPatrimonial!P69/1000</f>
        <v>1214.9449999999999</v>
      </c>
      <c r="Q14" s="200">
        <f>BalancoPatrimonial!Q69/1000</f>
        <v>1178.973</v>
      </c>
      <c r="R14" s="200">
        <f>BalancoPatrimonial!R69/1000</f>
        <v>1124.297</v>
      </c>
      <c r="S14" s="200">
        <f>BalancoPatrimonial!S69/1000</f>
        <v>1052.951</v>
      </c>
      <c r="T14" s="200">
        <f>BalancoPatrimonial!T69/1000</f>
        <v>1010.39</v>
      </c>
      <c r="U14" s="200">
        <f>BalancoPatrimonial!U69/1000</f>
        <v>989.29100000000005</v>
      </c>
      <c r="V14" s="200">
        <f>BalancoPatrimonial!V69/1000</f>
        <v>1078.4860000000001</v>
      </c>
      <c r="W14" s="200">
        <f>BalancoPatrimonial!W69/1000</f>
        <v>1101.856</v>
      </c>
      <c r="X14" s="200">
        <f>BalancoPatrimonial!X69/1000</f>
        <v>1068.1089999999999</v>
      </c>
      <c r="Y14" s="200">
        <f>BalancoPatrimonial!Y69/1000</f>
        <v>1001.875</v>
      </c>
      <c r="Z14" s="200">
        <f>BalancoPatrimonial!Z69/1000</f>
        <v>1005.981</v>
      </c>
      <c r="AA14" s="200">
        <f>BalancoPatrimonial!AA69/1000</f>
        <v>933.96</v>
      </c>
      <c r="AB14" s="200">
        <f>BalancoPatrimonial!AB69/1000</f>
        <v>938.78599999999994</v>
      </c>
      <c r="AC14" s="200">
        <f>BalancoPatrimonial!AC69/1000</f>
        <v>941.78899999999999</v>
      </c>
      <c r="AD14" s="200">
        <f>BalancoPatrimonial!AD69/1000</f>
        <v>914.63300000000004</v>
      </c>
      <c r="AE14" s="200">
        <f>BalancoPatrimonial!AE69/1000</f>
        <v>984.96100000000001</v>
      </c>
      <c r="AF14" s="200">
        <f>BalancoPatrimonial!AF69/1000</f>
        <v>964.47299999999996</v>
      </c>
      <c r="AG14" s="200">
        <f>BalancoPatrimonial!AG69/1000</f>
        <v>914.63300000000004</v>
      </c>
      <c r="AH14" s="200">
        <f>BalancoPatrimonial!AH69/1000</f>
        <v>839.18399999999997</v>
      </c>
      <c r="AI14" s="200">
        <f>BalancoPatrimonial!AI69/1000</f>
        <v>864.21799999999996</v>
      </c>
      <c r="AJ14" s="200">
        <f>BalancoPatrimonial!AJ69/1000</f>
        <v>1013.659</v>
      </c>
      <c r="AK14" s="200">
        <f>BalancoPatrimonial!AK69/1000</f>
        <v>1050.518</v>
      </c>
      <c r="AL14" s="200">
        <f>BalancoPatrimonial!AL69/1000</f>
        <v>967.96199999999999</v>
      </c>
      <c r="AM14" s="200">
        <f>BalancoPatrimonial!AM69/1000</f>
        <v>1001.385</v>
      </c>
      <c r="AN14" s="200">
        <f>BalancoPatrimonial!AN69/1000</f>
        <v>792.61900000000003</v>
      </c>
      <c r="AO14" s="200">
        <f>BalancoPatrimonial!AO69/1000</f>
        <v>747.50900000000001</v>
      </c>
      <c r="AP14" s="7"/>
      <c r="AQ14" s="7"/>
    </row>
    <row r="15" spans="1:43" x14ac:dyDescent="0.25">
      <c r="A15" s="5" t="s">
        <v>353</v>
      </c>
      <c r="B15" s="202">
        <f>BalancoPatrimonial!B89/1000</f>
        <v>3927.0819999999999</v>
      </c>
      <c r="C15" s="202">
        <f>BalancoPatrimonial!C89/1000</f>
        <v>3415.348</v>
      </c>
      <c r="D15" s="202">
        <f>BalancoPatrimonial!D89/1000</f>
        <v>3670.2939999999999</v>
      </c>
      <c r="E15" s="202">
        <f>BalancoPatrimonial!E89/1000</f>
        <v>3688.9229999999998</v>
      </c>
      <c r="F15" s="202">
        <f>BalancoPatrimonial!F89/1000</f>
        <v>3666.806</v>
      </c>
      <c r="G15" s="202">
        <f>BalancoPatrimonial!G89/1000</f>
        <v>3681.973</v>
      </c>
      <c r="H15" s="202">
        <f>BalancoPatrimonial!H89/1000</f>
        <v>3750.2240000000002</v>
      </c>
      <c r="I15" s="202">
        <f>BalancoPatrimonial!I89/1000</f>
        <v>3571.81</v>
      </c>
      <c r="J15" s="202">
        <f>BalancoPatrimonial!J89/1000</f>
        <v>3610.7460000000001</v>
      </c>
      <c r="K15" s="202">
        <f>BalancoPatrimonial!K89/1000</f>
        <v>3584.2280000000001</v>
      </c>
      <c r="L15" s="202">
        <f>BalancoPatrimonial!L89/1000</f>
        <v>3190.1260000000002</v>
      </c>
      <c r="M15" s="202">
        <f>BalancoPatrimonial!M89/1000</f>
        <v>3401.491</v>
      </c>
      <c r="N15" s="202">
        <f>BalancoPatrimonial!N89/1000</f>
        <v>3309.78</v>
      </c>
      <c r="O15" s="202">
        <f>BalancoPatrimonial!O89/1000</f>
        <v>3444.79</v>
      </c>
      <c r="P15" s="202">
        <f>BalancoPatrimonial!P89/1000</f>
        <v>3570.1909999999998</v>
      </c>
      <c r="Q15" s="202">
        <f>BalancoPatrimonial!Q89/1000</f>
        <v>3701.48</v>
      </c>
      <c r="R15" s="202">
        <f>BalancoPatrimonial!R89/1000</f>
        <v>3876.13</v>
      </c>
      <c r="S15" s="202">
        <f>BalancoPatrimonial!S89/1000</f>
        <v>4038.759</v>
      </c>
      <c r="T15" s="202">
        <f>BalancoPatrimonial!T89/1000</f>
        <v>3945.1909999999998</v>
      </c>
      <c r="U15" s="202">
        <f>BalancoPatrimonial!U89/1000</f>
        <v>4051.415</v>
      </c>
      <c r="V15" s="202">
        <f>BalancoPatrimonial!V89/1000</f>
        <v>4212.8320000000003</v>
      </c>
      <c r="W15" s="202">
        <f>BalancoPatrimonial!W89/1000</f>
        <v>4114.0320000000002</v>
      </c>
      <c r="X15" s="202">
        <f>BalancoPatrimonial!X89/1000</f>
        <v>3751.6149999999998</v>
      </c>
      <c r="Y15" s="202">
        <f>BalancoPatrimonial!Y89/1000</f>
        <v>3696.723</v>
      </c>
      <c r="Z15" s="202">
        <f>BalancoPatrimonial!Z89/1000</f>
        <v>3612.096</v>
      </c>
      <c r="AA15" s="202">
        <f>BalancoPatrimonial!AA89/1000</f>
        <v>3343.5545000000002</v>
      </c>
      <c r="AB15" s="202">
        <f>BalancoPatrimonial!AB89/1000</f>
        <v>3233.7539999999999</v>
      </c>
      <c r="AC15" s="202">
        <f>BalancoPatrimonial!AC89/1000</f>
        <v>3157.3180000000002</v>
      </c>
      <c r="AD15" s="202">
        <f>BalancoPatrimonial!AD89/1000</f>
        <v>3204.3090000000002</v>
      </c>
      <c r="AE15" s="202">
        <f>BalancoPatrimonial!AE89/1000</f>
        <v>3248.48</v>
      </c>
      <c r="AF15" s="202">
        <f>BalancoPatrimonial!AF89/1000</f>
        <v>3306.585</v>
      </c>
      <c r="AG15" s="202">
        <f>BalancoPatrimonial!AG89/1000</f>
        <v>3204.3090000000002</v>
      </c>
      <c r="AH15" s="202">
        <f>BalancoPatrimonial!AH89/1000</f>
        <v>3189.962</v>
      </c>
      <c r="AI15" s="202">
        <f>BalancoPatrimonial!AI89/1000</f>
        <v>3198.9009999999998</v>
      </c>
      <c r="AJ15" s="202">
        <f>BalancoPatrimonial!AJ89/1000</f>
        <v>3060.2570000000001</v>
      </c>
      <c r="AK15" s="202">
        <f>BalancoPatrimonial!AK89/1000</f>
        <v>3183.37</v>
      </c>
      <c r="AL15" s="202">
        <f>BalancoPatrimonial!AL89/1000</f>
        <v>2804.5619999999999</v>
      </c>
      <c r="AM15" s="202">
        <f>BalancoPatrimonial!AM89/1000</f>
        <v>2424.098</v>
      </c>
      <c r="AN15" s="202">
        <f>BalancoPatrimonial!AN89/1000</f>
        <v>2423.6779999999999</v>
      </c>
      <c r="AO15" s="202">
        <f>BalancoPatrimonial!AO89/1000</f>
        <v>2414.181</v>
      </c>
      <c r="AP15" s="7"/>
      <c r="AQ15" s="7"/>
    </row>
    <row r="16" spans="1:43" x14ac:dyDescent="0.25">
      <c r="A16" s="27" t="s">
        <v>354</v>
      </c>
      <c r="B16" s="200">
        <f>BalancoPatrimonial!B100/1000</f>
        <v>6456.6120000000001</v>
      </c>
      <c r="C16" s="200">
        <f>BalancoPatrimonial!C100/1000</f>
        <v>7145.6880000000001</v>
      </c>
      <c r="D16" s="200">
        <f>BalancoPatrimonial!D100/1000</f>
        <v>6968.2690000000002</v>
      </c>
      <c r="E16" s="200">
        <f>BalancoPatrimonial!E100/1000</f>
        <v>6859.058</v>
      </c>
      <c r="F16" s="200">
        <f>BalancoPatrimonial!F100/1000</f>
        <v>6743.7129999999997</v>
      </c>
      <c r="G16" s="200">
        <f>BalancoPatrimonial!G100/1000</f>
        <v>6609.22</v>
      </c>
      <c r="H16" s="200">
        <f>BalancoPatrimonial!H100/1000</f>
        <v>6468.0569999999998</v>
      </c>
      <c r="I16" s="200">
        <f>BalancoPatrimonial!I100/1000</f>
        <v>6360.3789999999999</v>
      </c>
      <c r="J16" s="200">
        <f>BalancoPatrimonial!J100/1000</f>
        <v>6226.6329999999998</v>
      </c>
      <c r="K16" s="200">
        <f>BalancoPatrimonial!K100/1000</f>
        <v>6181.174</v>
      </c>
      <c r="L16" s="200">
        <f>BalancoPatrimonial!L100/1000</f>
        <v>6109.6440000000002</v>
      </c>
      <c r="M16" s="200">
        <f>BalancoPatrimonial!M100/1000</f>
        <v>6326.4610000000002</v>
      </c>
      <c r="N16" s="200">
        <f>BalancoPatrimonial!N100/1000</f>
        <v>6244.3429999999998</v>
      </c>
      <c r="O16" s="200">
        <f>BalancoPatrimonial!O100/1000</f>
        <v>6238.3909999999996</v>
      </c>
      <c r="P16" s="200">
        <f>BalancoPatrimonial!P100/1000</f>
        <v>6131.7820000000002</v>
      </c>
      <c r="Q16" s="200">
        <f>BalancoPatrimonial!Q100/1000</f>
        <v>6052.5749999999998</v>
      </c>
      <c r="R16" s="200">
        <f>BalancoPatrimonial!R100/1000</f>
        <v>5939.6869999999999</v>
      </c>
      <c r="S16" s="200">
        <f>BalancoPatrimonial!S100/1000</f>
        <v>5865.4319999999998</v>
      </c>
      <c r="T16" s="200">
        <f>BalancoPatrimonial!T100/1000</f>
        <v>5778.4870000000001</v>
      </c>
      <c r="U16" s="200">
        <f>BalancoPatrimonial!U100/1000</f>
        <v>5707.9939999999997</v>
      </c>
      <c r="V16" s="200">
        <f>BalancoPatrimonial!V100/1000</f>
        <v>5646.85</v>
      </c>
      <c r="W16" s="200">
        <f>BalancoPatrimonial!W100/1000</f>
        <v>5665.4830000000002</v>
      </c>
      <c r="X16" s="200">
        <f>BalancoPatrimonial!X100/1000</f>
        <v>5600.0709999999999</v>
      </c>
      <c r="Y16" s="200">
        <f>BalancoPatrimonial!Y100/1000</f>
        <v>5544.8339999999998</v>
      </c>
      <c r="Z16" s="200">
        <f>BalancoPatrimonial!Z100/1000</f>
        <v>5536.5640000000003</v>
      </c>
      <c r="AA16" s="200">
        <f>BalancoPatrimonial!AA100/1000</f>
        <v>5523.3620000000001</v>
      </c>
      <c r="AB16" s="200">
        <f>BalancoPatrimonial!AB100/1000</f>
        <v>5461.5630000000001</v>
      </c>
      <c r="AC16" s="200">
        <f>BalancoPatrimonial!AC100/1000</f>
        <v>5415.8620000000001</v>
      </c>
      <c r="AD16" s="200">
        <f>BalancoPatrimonial!AD100/1000</f>
        <v>5337.3590000000004</v>
      </c>
      <c r="AE16" s="200">
        <f>BalancoPatrimonial!AE100/1000</f>
        <v>5136.8090000000002</v>
      </c>
      <c r="AF16" s="200">
        <f>BalancoPatrimonial!AF100/1000</f>
        <v>5053.72</v>
      </c>
      <c r="AG16" s="200">
        <f>BalancoPatrimonial!AG100/1000</f>
        <v>5337.3590000000004</v>
      </c>
      <c r="AH16" s="200">
        <f>BalancoPatrimonial!AH100/1000</f>
        <v>4963.5420000000004</v>
      </c>
      <c r="AI16" s="200">
        <f>BalancoPatrimonial!AI100/1000</f>
        <v>4913.2430000000004</v>
      </c>
      <c r="AJ16" s="200">
        <f>BalancoPatrimonial!AJ100/1000</f>
        <v>4823.1819999999998</v>
      </c>
      <c r="AK16" s="200">
        <f>BalancoPatrimonial!AK100/1000</f>
        <v>4588.3040000000001</v>
      </c>
      <c r="AL16" s="200">
        <f>BalancoPatrimonial!AL100/1000</f>
        <v>4501.6769999999997</v>
      </c>
      <c r="AM16" s="200">
        <f>BalancoPatrimonial!AM100/1000</f>
        <v>4425.8630000000003</v>
      </c>
      <c r="AN16" s="200">
        <f>BalancoPatrimonial!AN100/1000</f>
        <v>4348.2839999999997</v>
      </c>
      <c r="AO16" s="200">
        <f>BalancoPatrimonial!AO100/1000</f>
        <v>4275.1549999999997</v>
      </c>
      <c r="AP16" s="7"/>
      <c r="AQ16" s="7"/>
    </row>
    <row r="17" spans="1:43" x14ac:dyDescent="0.25">
      <c r="A17" s="5" t="s">
        <v>355</v>
      </c>
      <c r="B17" s="202">
        <v>2999.453</v>
      </c>
      <c r="C17" s="202">
        <f>2267070.27804/1000</f>
        <v>2267.0702780399997</v>
      </c>
      <c r="D17" s="202">
        <v>2396.2043903799999</v>
      </c>
      <c r="E17" s="202">
        <f>2674787.13811/1000</f>
        <v>2674.7871381100003</v>
      </c>
      <c r="F17" s="202">
        <f>2826250.01706/1000</f>
        <v>2826.2500170600001</v>
      </c>
      <c r="G17" s="202">
        <v>2919.9762637699996</v>
      </c>
      <c r="H17" s="202">
        <v>3042.7395772999994</v>
      </c>
      <c r="I17" s="28">
        <v>3076.3131623499999</v>
      </c>
      <c r="J17" s="28">
        <v>3297.2633785199996</v>
      </c>
      <c r="K17" s="28">
        <v>3142.7823668216765</v>
      </c>
      <c r="L17" s="28">
        <v>3088.6708732156048</v>
      </c>
      <c r="M17" s="28">
        <v>2770.5</v>
      </c>
      <c r="N17" s="28">
        <v>2803.1</v>
      </c>
      <c r="O17" s="28">
        <v>2644.6</v>
      </c>
      <c r="P17" s="28">
        <v>2781.9</v>
      </c>
      <c r="Q17" s="28">
        <v>2845.2</v>
      </c>
      <c r="R17" s="28">
        <v>2900.4</v>
      </c>
      <c r="S17" s="28">
        <v>2953.7</v>
      </c>
      <c r="T17" s="28">
        <v>3114.8</v>
      </c>
      <c r="U17" s="28">
        <v>3216.8</v>
      </c>
      <c r="V17" s="28">
        <v>3136</v>
      </c>
      <c r="W17" s="28">
        <v>3195.9</v>
      </c>
      <c r="X17" s="28">
        <v>3184.4</v>
      </c>
      <c r="Y17" s="28">
        <v>3262.4</v>
      </c>
      <c r="Z17" s="28">
        <v>3214.5</v>
      </c>
      <c r="AA17" s="28">
        <v>3129.5</v>
      </c>
      <c r="AB17" s="28">
        <v>3100.2</v>
      </c>
      <c r="AC17" s="28">
        <v>3010.6</v>
      </c>
      <c r="AD17" s="28">
        <v>3011.9</v>
      </c>
      <c r="AE17" s="28">
        <v>2842.6</v>
      </c>
      <c r="AF17" s="28">
        <v>2768.5</v>
      </c>
      <c r="AG17" s="28">
        <v>2641.1</v>
      </c>
      <c r="AH17" s="28">
        <v>2685.9</v>
      </c>
      <c r="AI17" s="28">
        <v>2602.8000000000002</v>
      </c>
      <c r="AJ17" s="28">
        <v>2641.4</v>
      </c>
      <c r="AK17" s="28">
        <v>2650.5</v>
      </c>
      <c r="AL17" s="28">
        <v>2715.2</v>
      </c>
      <c r="AM17" s="28">
        <v>2284</v>
      </c>
      <c r="AN17" s="28">
        <v>2267.6999999999998</v>
      </c>
      <c r="AO17" s="28">
        <v>2200</v>
      </c>
      <c r="AP17" s="7"/>
      <c r="AQ17" s="7"/>
    </row>
    <row r="18" spans="1:43" x14ac:dyDescent="0.25">
      <c r="A18" s="27" t="s">
        <v>430</v>
      </c>
      <c r="B18" s="200">
        <v>547.39</v>
      </c>
      <c r="C18" s="200">
        <f>525699/1000</f>
        <v>525.69899999999996</v>
      </c>
      <c r="D18" s="200">
        <f>378551/1000</f>
        <v>378.55099999999999</v>
      </c>
      <c r="E18" s="200">
        <f>474926/1000</f>
        <v>474.92599999999999</v>
      </c>
      <c r="F18" s="200">
        <v>511.50700000000001</v>
      </c>
      <c r="G18" s="200">
        <v>458.27499999999998</v>
      </c>
      <c r="H18" s="200">
        <v>346.14699999999999</v>
      </c>
      <c r="I18" s="200">
        <v>442.54</v>
      </c>
      <c r="J18" s="200">
        <v>399.36799999999999</v>
      </c>
      <c r="K18" s="200">
        <v>346.84899999999999</v>
      </c>
      <c r="L18" s="200">
        <v>344.10300000000001</v>
      </c>
      <c r="M18" s="200">
        <v>400.54399999999998</v>
      </c>
      <c r="N18" s="200">
        <v>399.012</v>
      </c>
      <c r="O18" s="200">
        <v>381.92500000000001</v>
      </c>
      <c r="P18" s="200">
        <v>342.41702459999999</v>
      </c>
      <c r="Q18" s="200">
        <v>397.35510375000001</v>
      </c>
      <c r="R18" s="200">
        <v>395.08600000000001</v>
      </c>
      <c r="S18" s="200">
        <v>353.48899999999998</v>
      </c>
      <c r="T18" s="200">
        <v>325.98399999999998</v>
      </c>
      <c r="U18" s="200">
        <v>321.54899999999998</v>
      </c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7"/>
      <c r="AQ18" s="7"/>
    </row>
    <row r="19" spans="1:43" x14ac:dyDescent="0.25">
      <c r="A19" s="385" t="s">
        <v>356</v>
      </c>
      <c r="B19" s="202">
        <f>DRE!B31/1000</f>
        <v>-25.396000000000001</v>
      </c>
      <c r="C19" s="202">
        <f>DRE!C31/1000</f>
        <v>-37.838000000000001</v>
      </c>
      <c r="D19" s="202">
        <f>DRE!D31/1000</f>
        <v>-20.050999999999998</v>
      </c>
      <c r="E19" s="202">
        <f>DRE!E31/1000</f>
        <v>-92.688000000000002</v>
      </c>
      <c r="F19" s="202">
        <f>DRE!F31/1000</f>
        <v>-22.417000000000002</v>
      </c>
      <c r="G19" s="202">
        <f>DRE!G31/1000</f>
        <v>-39.19</v>
      </c>
      <c r="H19" s="202">
        <f>DRE!H109/1000</f>
        <v>-30.818999999999999</v>
      </c>
      <c r="I19" s="28">
        <f>DRE!I109/1000</f>
        <v>-41.469000000000001</v>
      </c>
      <c r="J19" s="28">
        <f>DRE!J109/1000</f>
        <v>-34.808920000000001</v>
      </c>
      <c r="K19" s="28">
        <f>DRE!K109/1000</f>
        <v>-41.671999999999997</v>
      </c>
      <c r="L19" s="28">
        <f>DRE!L109/1000</f>
        <v>-64.277000000000001</v>
      </c>
      <c r="M19" s="28">
        <f>DRE!M109/1000</f>
        <v>-50.947000000000003</v>
      </c>
      <c r="N19" s="28">
        <f>DRE!N109/1000</f>
        <v>-55.923000000000002</v>
      </c>
      <c r="O19" s="28">
        <f>DRE!O109/1000</f>
        <v>-35.536000000000001</v>
      </c>
      <c r="P19" s="28">
        <f>DRE!P109/1000</f>
        <v>-57.896999999999998</v>
      </c>
      <c r="Q19" s="28">
        <f>DRE!Q109/1000</f>
        <v>-50.905000000000001</v>
      </c>
      <c r="R19" s="28">
        <f>DRE!R109/1000</f>
        <v>-51.125</v>
      </c>
      <c r="S19" s="28">
        <f>DRE!S109/1000</f>
        <v>-58.475999999999999</v>
      </c>
      <c r="T19" s="28">
        <f>DRE!T109/1000</f>
        <v>-24.837</v>
      </c>
      <c r="U19" s="28">
        <f>DRE!U109/1000</f>
        <v>-66.766999999999996</v>
      </c>
      <c r="V19" s="28">
        <f>DRE!V109/1000</f>
        <v>-50.448999999999998</v>
      </c>
      <c r="W19" s="28">
        <f>DRE!W109/1000</f>
        <v>-142.45599999999999</v>
      </c>
      <c r="X19" s="28">
        <f>DRE!X109/1000</f>
        <v>-68.850999999999999</v>
      </c>
      <c r="Y19" s="28">
        <f>DRE!Y109/1000</f>
        <v>-81.313999999999993</v>
      </c>
      <c r="Z19" s="28">
        <f>DRE!Z109/1000</f>
        <v>-50.631999999999998</v>
      </c>
      <c r="AA19" s="28">
        <f>DRE!AA109/1000</f>
        <v>-48.401000000000003</v>
      </c>
      <c r="AB19" s="28">
        <f>DRE!AB109/1000</f>
        <v>-43.612000000000002</v>
      </c>
      <c r="AC19" s="28">
        <f>DRE!AC109/1000</f>
        <v>-44.164999999999999</v>
      </c>
      <c r="AD19" s="28">
        <f>DRE!AD109/1000</f>
        <v>-48.06</v>
      </c>
      <c r="AE19" s="28">
        <f>DRE!AE109/1000</f>
        <v>-30.280999999999999</v>
      </c>
      <c r="AF19" s="28">
        <f>DRE!AF109/1000</f>
        <v>-43.201999999999998</v>
      </c>
      <c r="AG19" s="28">
        <f>DRE!AG109/1000</f>
        <v>-37.225999999999999</v>
      </c>
      <c r="AH19" s="28">
        <f>DRE!AH109/1000</f>
        <v>-31.995000000000001</v>
      </c>
      <c r="AI19" s="28">
        <f>DRE!AI109/1000</f>
        <v>-23.411000000000001</v>
      </c>
      <c r="AJ19" s="28">
        <f>DRE!AJ109/1000</f>
        <v>-36.328000000000003</v>
      </c>
      <c r="AK19" s="28">
        <f>DRE!AK109/1000</f>
        <v>-30.917999999999999</v>
      </c>
      <c r="AL19" s="28">
        <f>DRE!AL109/1000</f>
        <v>-30.562999999999999</v>
      </c>
      <c r="AM19" s="28">
        <f>DRE!AM109/1000</f>
        <v>-24.312999999999999</v>
      </c>
      <c r="AN19" s="28">
        <f>DRE!AN109/1000</f>
        <v>-14.821</v>
      </c>
      <c r="AO19" s="28">
        <f>DRE!AO109/1000</f>
        <v>-19.158000000000001</v>
      </c>
      <c r="AP19" s="7"/>
      <c r="AQ19" s="7"/>
    </row>
    <row r="20" spans="1:43" x14ac:dyDescent="0.25">
      <c r="A20" s="27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7"/>
      <c r="AQ20" s="7"/>
    </row>
    <row r="21" spans="1:43" ht="15.75" x14ac:dyDescent="0.25">
      <c r="A21" s="121" t="s">
        <v>341</v>
      </c>
      <c r="B21" s="121"/>
      <c r="C21" s="121"/>
      <c r="D21" s="121"/>
      <c r="E21" s="121"/>
      <c r="F21" s="206"/>
      <c r="G21" s="206"/>
      <c r="H21" s="206"/>
      <c r="I21" s="206"/>
      <c r="J21" s="206"/>
      <c r="K21" s="206"/>
      <c r="L21" s="206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7"/>
      <c r="AQ21" s="7"/>
    </row>
    <row r="22" spans="1:43" x14ac:dyDescent="0.25">
      <c r="A22" s="22"/>
      <c r="B22" s="22"/>
      <c r="C22" s="22"/>
      <c r="D22" s="22"/>
      <c r="E22" s="22"/>
      <c r="F22" s="153"/>
      <c r="G22" s="153"/>
      <c r="H22" s="153"/>
      <c r="I22" s="150"/>
      <c r="J22" s="150"/>
      <c r="K22" s="150"/>
      <c r="L22" s="150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7"/>
      <c r="AQ22" s="7"/>
    </row>
    <row r="23" spans="1:43" x14ac:dyDescent="0.25">
      <c r="A23" s="5" t="s">
        <v>94</v>
      </c>
      <c r="B23" s="151">
        <f t="shared" ref="B23:G23" si="1">B12/B14</f>
        <v>1.4319749648260158</v>
      </c>
      <c r="C23" s="151">
        <f t="shared" si="1"/>
        <v>1.5511720512020322</v>
      </c>
      <c r="D23" s="151">
        <f t="shared" si="1"/>
        <v>1.7647430961406836</v>
      </c>
      <c r="E23" s="151">
        <f t="shared" si="1"/>
        <v>1.7469043359793046</v>
      </c>
      <c r="F23" s="151">
        <f t="shared" si="1"/>
        <v>1.6464796217068227</v>
      </c>
      <c r="G23" s="151">
        <f t="shared" si="1"/>
        <v>1.6237942177737503</v>
      </c>
      <c r="H23" s="151">
        <v>1.6243759720229247</v>
      </c>
      <c r="I23" s="151">
        <v>1.3993672044356948</v>
      </c>
      <c r="J23" s="28">
        <v>1.3736424446195683</v>
      </c>
      <c r="K23" s="28">
        <v>1.3732599777446945</v>
      </c>
      <c r="L23" s="28">
        <v>1.0657345321385232</v>
      </c>
      <c r="M23" s="28">
        <v>1.44</v>
      </c>
      <c r="N23" s="28">
        <v>1.34</v>
      </c>
      <c r="O23" s="28">
        <v>1.45</v>
      </c>
      <c r="P23" s="28">
        <v>1.44</v>
      </c>
      <c r="Q23" s="28">
        <v>1.47</v>
      </c>
      <c r="R23" s="28">
        <v>1.51</v>
      </c>
      <c r="S23" s="28">
        <v>1.57</v>
      </c>
      <c r="T23" s="28">
        <v>1.4</v>
      </c>
      <c r="U23" s="28">
        <v>1.36</v>
      </c>
      <c r="V23" s="28">
        <v>1.37</v>
      </c>
      <c r="W23" s="28">
        <v>1.4</v>
      </c>
      <c r="X23" s="28">
        <v>1.1299999999999999</v>
      </c>
      <c r="Y23" s="28">
        <v>1.1100000000000001</v>
      </c>
      <c r="Z23" s="28">
        <v>1.1599999999999999</v>
      </c>
      <c r="AA23" s="28">
        <v>1.05</v>
      </c>
      <c r="AB23" s="28">
        <v>1.1499999999999999</v>
      </c>
      <c r="AC23" s="28">
        <v>1.0900000000000001</v>
      </c>
      <c r="AD23" s="28">
        <v>1.18</v>
      </c>
      <c r="AE23" s="28">
        <v>1.08</v>
      </c>
      <c r="AF23" s="28">
        <v>1.23</v>
      </c>
      <c r="AG23" s="28">
        <v>1.18</v>
      </c>
      <c r="AH23" s="28">
        <v>1.45</v>
      </c>
      <c r="AI23" s="28">
        <v>1.48</v>
      </c>
      <c r="AJ23" s="28">
        <v>1.23</v>
      </c>
      <c r="AK23" s="28">
        <v>1.25</v>
      </c>
      <c r="AL23" s="28">
        <v>0.84</v>
      </c>
      <c r="AM23" s="28">
        <v>0.89</v>
      </c>
      <c r="AN23" s="28">
        <v>0.9</v>
      </c>
      <c r="AO23" s="28">
        <v>0.93</v>
      </c>
      <c r="AP23" s="7"/>
      <c r="AQ23" s="7"/>
    </row>
    <row r="24" spans="1:43" x14ac:dyDescent="0.25">
      <c r="A24" s="27" t="s">
        <v>95</v>
      </c>
      <c r="B24" s="279">
        <f>B17/(B18+C18+D18+E18)</f>
        <v>1.5568908617716706</v>
      </c>
      <c r="C24" s="279">
        <f>C17/(C18+D18+E18+F18)</f>
        <v>1.1990747671820181</v>
      </c>
      <c r="D24" s="279">
        <f>D17/(D18+E18+F18+G18)</f>
        <v>1.3142424583561634</v>
      </c>
      <c r="E24" s="279">
        <f>E17/(1790855/1000)</f>
        <v>1.4935810761396096</v>
      </c>
      <c r="F24" s="279">
        <f>F17/1758.469</f>
        <v>1.6072219738078977</v>
      </c>
      <c r="G24" s="279">
        <f>G17/1646.33</f>
        <v>1.7736275617707262</v>
      </c>
      <c r="H24" s="279">
        <v>1.9831709839794558</v>
      </c>
      <c r="I24" s="279">
        <v>2.0069107174497343</v>
      </c>
      <c r="J24" s="40">
        <v>2.2116459841541549</v>
      </c>
      <c r="K24" s="40">
        <v>2.1085310288986552</v>
      </c>
      <c r="L24" s="40">
        <v>2.0245826340703656</v>
      </c>
      <c r="M24" s="40">
        <v>1.8</v>
      </c>
      <c r="N24" s="40">
        <v>1.8</v>
      </c>
      <c r="O24" s="40">
        <v>1.7</v>
      </c>
      <c r="P24" s="40">
        <v>1.9</v>
      </c>
      <c r="Q24" s="40">
        <v>1.9</v>
      </c>
      <c r="R24" s="40">
        <v>2.1</v>
      </c>
      <c r="S24" s="40">
        <v>2.5</v>
      </c>
      <c r="T24" s="40">
        <v>2.8</v>
      </c>
      <c r="U24" s="40">
        <v>3.4</v>
      </c>
      <c r="V24" s="40">
        <v>3.6</v>
      </c>
      <c r="W24" s="40">
        <v>3.4</v>
      </c>
      <c r="X24" s="40">
        <v>3.3</v>
      </c>
      <c r="Y24" s="40">
        <v>3.1</v>
      </c>
      <c r="Z24" s="40">
        <v>2.9</v>
      </c>
      <c r="AA24" s="40">
        <v>2.7</v>
      </c>
      <c r="AB24" s="40">
        <v>2.6</v>
      </c>
      <c r="AC24" s="40">
        <v>2.6</v>
      </c>
      <c r="AD24" s="40">
        <v>2.6</v>
      </c>
      <c r="AE24" s="40">
        <v>2.5</v>
      </c>
      <c r="AF24" s="40">
        <v>2.5</v>
      </c>
      <c r="AG24" s="40">
        <v>2.2999999999999998</v>
      </c>
      <c r="AH24" s="40">
        <v>2.4</v>
      </c>
      <c r="AI24" s="40">
        <v>2.4</v>
      </c>
      <c r="AJ24" s="40">
        <v>2.4</v>
      </c>
      <c r="AK24" s="40">
        <v>2.5</v>
      </c>
      <c r="AL24" s="40">
        <v>2.5</v>
      </c>
      <c r="AM24" s="40">
        <v>1.7</v>
      </c>
      <c r="AN24" s="40">
        <v>1.7</v>
      </c>
      <c r="AO24" s="40">
        <v>1.7</v>
      </c>
      <c r="AP24" s="7"/>
      <c r="AQ24" s="7"/>
    </row>
    <row r="25" spans="1:43" x14ac:dyDescent="0.25">
      <c r="A25" s="5" t="s">
        <v>387</v>
      </c>
      <c r="B25" s="151">
        <f t="shared" ref="B25:H25" si="2">(B14+B15)/B16</f>
        <v>0.82178424226204083</v>
      </c>
      <c r="C25" s="151">
        <f t="shared" si="2"/>
        <v>0.68334161804993443</v>
      </c>
      <c r="D25" s="151">
        <f t="shared" si="2"/>
        <v>0.70115634169691199</v>
      </c>
      <c r="E25" s="151">
        <f t="shared" si="2"/>
        <v>0.70497231544040007</v>
      </c>
      <c r="F25" s="151">
        <f t="shared" si="2"/>
        <v>0.70837178272562917</v>
      </c>
      <c r="G25" s="151">
        <f t="shared" si="2"/>
        <v>0.73225342778724256</v>
      </c>
      <c r="H25" s="151">
        <f t="shared" si="2"/>
        <v>0.75973882110191671</v>
      </c>
      <c r="I25" s="151">
        <f t="shared" ref="I25:AO25" si="3">(I14+I15)/I16</f>
        <v>0.76573801655530283</v>
      </c>
      <c r="J25" s="28">
        <f t="shared" si="3"/>
        <v>0.79325841108669803</v>
      </c>
      <c r="K25" s="28">
        <f t="shared" si="3"/>
        <v>0.79329007725716827</v>
      </c>
      <c r="L25" s="28">
        <f t="shared" si="3"/>
        <v>0.75157488717836918</v>
      </c>
      <c r="M25" s="28">
        <f t="shared" si="3"/>
        <v>0.7411612906489109</v>
      </c>
      <c r="N25" s="28">
        <f t="shared" si="3"/>
        <v>0.7297405027238254</v>
      </c>
      <c r="O25" s="28">
        <f t="shared" si="3"/>
        <v>0.7583431368761594</v>
      </c>
      <c r="P25" s="28">
        <f t="shared" si="3"/>
        <v>0.78038260329542042</v>
      </c>
      <c r="Q25" s="28">
        <f t="shared" si="3"/>
        <v>0.80634325059995116</v>
      </c>
      <c r="R25" s="28">
        <f t="shared" si="3"/>
        <v>0.84186708828259804</v>
      </c>
      <c r="S25" s="28">
        <f t="shared" si="3"/>
        <v>0.86808780666112917</v>
      </c>
      <c r="T25" s="28">
        <f t="shared" si="3"/>
        <v>0.85759144218893291</v>
      </c>
      <c r="U25" s="28">
        <f t="shared" si="3"/>
        <v>0.88309588272167072</v>
      </c>
      <c r="V25" s="28">
        <f t="shared" si="3"/>
        <v>0.93703888008358638</v>
      </c>
      <c r="W25" s="28">
        <f t="shared" si="3"/>
        <v>0.92064312963254846</v>
      </c>
      <c r="X25" s="28">
        <f t="shared" si="3"/>
        <v>0.86065408813566835</v>
      </c>
      <c r="Y25" s="28">
        <f t="shared" si="3"/>
        <v>0.84738298747987773</v>
      </c>
      <c r="Z25" s="28">
        <f t="shared" si="3"/>
        <v>0.83410523205367082</v>
      </c>
      <c r="AA25" s="28">
        <f t="shared" si="3"/>
        <v>0.77444036802222993</v>
      </c>
      <c r="AB25" s="28">
        <f t="shared" si="3"/>
        <v>0.76398276464081805</v>
      </c>
      <c r="AC25" s="28">
        <f t="shared" si="3"/>
        <v>0.75687065143092636</v>
      </c>
      <c r="AD25" s="28">
        <f t="shared" si="3"/>
        <v>0.77171912176040613</v>
      </c>
      <c r="AE25" s="28">
        <f t="shared" si="3"/>
        <v>0.82413829285846518</v>
      </c>
      <c r="AF25" s="28">
        <f t="shared" si="3"/>
        <v>0.84513150708784812</v>
      </c>
      <c r="AG25" s="28">
        <f t="shared" si="3"/>
        <v>0.77171912176040613</v>
      </c>
      <c r="AH25" s="28">
        <f t="shared" si="3"/>
        <v>0.81174814275773222</v>
      </c>
      <c r="AI25" s="28">
        <f t="shared" si="3"/>
        <v>0.8269729382405876</v>
      </c>
      <c r="AJ25" s="28">
        <f t="shared" si="3"/>
        <v>0.84465317709346244</v>
      </c>
      <c r="AK25" s="28">
        <f t="shared" si="3"/>
        <v>0.92275664384923051</v>
      </c>
      <c r="AL25" s="28">
        <f t="shared" si="3"/>
        <v>0.83802636217569593</v>
      </c>
      <c r="AM25" s="28">
        <f t="shared" si="3"/>
        <v>0.77396950606017401</v>
      </c>
      <c r="AN25" s="28">
        <f t="shared" si="3"/>
        <v>0.73967040791263872</v>
      </c>
      <c r="AO25" s="28">
        <f t="shared" si="3"/>
        <v>0.73954979410103261</v>
      </c>
      <c r="AP25" s="7"/>
      <c r="AQ25" s="7"/>
    </row>
    <row r="26" spans="1:43" x14ac:dyDescent="0.25">
      <c r="A26" s="7"/>
      <c r="B26" s="7"/>
      <c r="C26" s="7"/>
      <c r="D26" s="7"/>
      <c r="E26" s="7"/>
      <c r="F26" s="7"/>
      <c r="G26" s="7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7"/>
      <c r="AQ26" s="7"/>
    </row>
    <row r="27" spans="1:43" x14ac:dyDescent="0.25">
      <c r="A27" s="7"/>
      <c r="B27" s="7"/>
      <c r="C27" s="7"/>
      <c r="D27" s="7"/>
      <c r="E27" s="7"/>
      <c r="F27" s="7"/>
      <c r="G27" s="7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7"/>
      <c r="AQ27" s="7"/>
    </row>
    <row r="28" spans="1:43" x14ac:dyDescent="0.25">
      <c r="A28" s="353"/>
      <c r="B28" s="354" t="s">
        <v>443</v>
      </c>
      <c r="C28" s="354" t="s">
        <v>436</v>
      </c>
      <c r="D28" s="354" t="s">
        <v>433</v>
      </c>
      <c r="E28" s="354" t="s">
        <v>422</v>
      </c>
      <c r="F28" s="354" t="s">
        <v>400</v>
      </c>
      <c r="G28" s="354" t="s">
        <v>389</v>
      </c>
      <c r="H28" s="354" t="s">
        <v>225</v>
      </c>
      <c r="I28" s="354" t="s">
        <v>0</v>
      </c>
      <c r="J28" s="354" t="s">
        <v>1</v>
      </c>
      <c r="K28" s="354" t="s">
        <v>2</v>
      </c>
      <c r="L28" s="354" t="s">
        <v>3</v>
      </c>
      <c r="M28" s="354" t="s">
        <v>4</v>
      </c>
      <c r="N28" s="354" t="s">
        <v>5</v>
      </c>
      <c r="O28" s="354" t="s">
        <v>6</v>
      </c>
      <c r="P28" s="354" t="s">
        <v>7</v>
      </c>
      <c r="Q28" s="354" t="s">
        <v>8</v>
      </c>
      <c r="R28" s="354" t="s">
        <v>9</v>
      </c>
      <c r="S28" s="354" t="s">
        <v>10</v>
      </c>
      <c r="T28" s="354" t="s">
        <v>11</v>
      </c>
      <c r="U28" s="354" t="s">
        <v>12</v>
      </c>
      <c r="V28" s="354" t="s">
        <v>13</v>
      </c>
      <c r="W28" s="354" t="s">
        <v>14</v>
      </c>
      <c r="X28" s="354" t="s">
        <v>15</v>
      </c>
      <c r="Y28" s="354" t="s">
        <v>16</v>
      </c>
      <c r="Z28" s="354" t="s">
        <v>17</v>
      </c>
      <c r="AA28" s="354" t="s">
        <v>18</v>
      </c>
      <c r="AB28" s="354" t="s">
        <v>19</v>
      </c>
      <c r="AC28" s="354" t="s">
        <v>20</v>
      </c>
      <c r="AD28" s="354" t="s">
        <v>34</v>
      </c>
      <c r="AE28" s="354" t="s">
        <v>21</v>
      </c>
      <c r="AF28" s="354" t="s">
        <v>22</v>
      </c>
      <c r="AG28" s="354" t="s">
        <v>23</v>
      </c>
      <c r="AH28" s="354" t="s">
        <v>24</v>
      </c>
      <c r="AI28" s="354" t="s">
        <v>25</v>
      </c>
      <c r="AJ28" s="354" t="s">
        <v>26</v>
      </c>
      <c r="AK28" s="354" t="s">
        <v>27</v>
      </c>
      <c r="AL28" s="354" t="s">
        <v>28</v>
      </c>
      <c r="AM28" s="354" t="s">
        <v>29</v>
      </c>
      <c r="AN28" s="354" t="s">
        <v>30</v>
      </c>
      <c r="AO28" s="354" t="s">
        <v>31</v>
      </c>
      <c r="AP28" s="7"/>
      <c r="AQ28" s="7"/>
    </row>
    <row r="29" spans="1:43" s="289" customFormat="1" x14ac:dyDescent="0.25">
      <c r="A29" s="374"/>
      <c r="B29" s="374"/>
      <c r="C29" s="374"/>
      <c r="D29" s="374"/>
      <c r="E29" s="374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7"/>
      <c r="AQ29" s="7"/>
    </row>
    <row r="30" spans="1:43" x14ac:dyDescent="0.25">
      <c r="A30" s="355" t="s">
        <v>401</v>
      </c>
      <c r="B30" s="355"/>
      <c r="C30" s="355"/>
      <c r="D30" s="355"/>
      <c r="E30" s="355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7"/>
      <c r="AQ30" s="7"/>
    </row>
    <row r="31" spans="1:43" x14ac:dyDescent="0.2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7"/>
      <c r="AQ31" s="7"/>
    </row>
    <row r="32" spans="1:43" x14ac:dyDescent="0.25">
      <c r="A32" s="351" t="s">
        <v>402</v>
      </c>
      <c r="B32" s="359">
        <f>'[2]BANCO DE DADOS'!$B$274</f>
        <v>41</v>
      </c>
      <c r="C32" s="359">
        <v>43</v>
      </c>
      <c r="D32" s="359">
        <v>29</v>
      </c>
      <c r="E32" s="359">
        <v>34</v>
      </c>
      <c r="F32" s="359">
        <v>57.399999999999977</v>
      </c>
      <c r="G32" s="359">
        <v>65</v>
      </c>
      <c r="H32" s="359">
        <v>79.7</v>
      </c>
      <c r="I32" s="359">
        <v>59</v>
      </c>
      <c r="J32" s="360">
        <v>94</v>
      </c>
      <c r="K32" s="360">
        <v>102</v>
      </c>
      <c r="L32" s="360">
        <v>57</v>
      </c>
      <c r="M32" s="360">
        <v>40</v>
      </c>
      <c r="N32" s="360">
        <v>79</v>
      </c>
      <c r="O32" s="360">
        <v>74</v>
      </c>
      <c r="P32" s="360">
        <v>48</v>
      </c>
      <c r="Q32" s="360">
        <v>38</v>
      </c>
      <c r="R32" s="360">
        <v>45</v>
      </c>
      <c r="S32" s="360">
        <v>48</v>
      </c>
      <c r="T32" s="360">
        <v>39</v>
      </c>
      <c r="U32" s="361">
        <v>33</v>
      </c>
      <c r="V32" s="361">
        <v>73.5</v>
      </c>
      <c r="W32" s="360">
        <v>36.9</v>
      </c>
      <c r="X32" s="360">
        <v>39</v>
      </c>
      <c r="Y32" s="360">
        <v>51.7</v>
      </c>
      <c r="Z32" s="360">
        <v>61.6</v>
      </c>
      <c r="AA32" s="360">
        <v>63.5</v>
      </c>
      <c r="AB32" s="360">
        <v>84.3</v>
      </c>
      <c r="AC32" s="360">
        <v>70.400000000000006</v>
      </c>
      <c r="AD32" s="360">
        <v>87.7</v>
      </c>
      <c r="AE32" s="360">
        <v>85.1</v>
      </c>
      <c r="AF32" s="360">
        <v>95.7</v>
      </c>
      <c r="AG32" s="360">
        <v>53</v>
      </c>
      <c r="AH32" s="360">
        <v>63</v>
      </c>
      <c r="AI32" s="360">
        <v>54.6</v>
      </c>
      <c r="AJ32" s="360">
        <v>63.9</v>
      </c>
      <c r="AK32" s="360">
        <v>54.3</v>
      </c>
      <c r="AL32" s="360">
        <v>69.099999999999994</v>
      </c>
      <c r="AM32" s="360">
        <v>61.8</v>
      </c>
      <c r="AN32" s="360">
        <v>56.9</v>
      </c>
      <c r="AO32" s="360">
        <v>82.7</v>
      </c>
      <c r="AP32" s="7"/>
      <c r="AQ32" s="7"/>
    </row>
    <row r="33" spans="1:43" x14ac:dyDescent="0.25">
      <c r="A33" s="352" t="s">
        <v>403</v>
      </c>
      <c r="B33" s="362">
        <f>'[2]BANCO DE DADOS'!$B$275</f>
        <v>65</v>
      </c>
      <c r="C33" s="362">
        <v>62</v>
      </c>
      <c r="D33" s="362">
        <v>47</v>
      </c>
      <c r="E33" s="362">
        <v>39</v>
      </c>
      <c r="F33" s="362">
        <v>67.700000000000017</v>
      </c>
      <c r="G33" s="362">
        <v>69.8</v>
      </c>
      <c r="H33" s="362">
        <v>72.099999999999994</v>
      </c>
      <c r="I33" s="362">
        <v>70</v>
      </c>
      <c r="J33" s="363">
        <v>90</v>
      </c>
      <c r="K33" s="363">
        <v>95</v>
      </c>
      <c r="L33" s="363">
        <v>106</v>
      </c>
      <c r="M33" s="363">
        <v>66</v>
      </c>
      <c r="N33" s="363">
        <v>87</v>
      </c>
      <c r="O33" s="363">
        <v>58</v>
      </c>
      <c r="P33" s="363">
        <v>52</v>
      </c>
      <c r="Q33" s="363">
        <v>55</v>
      </c>
      <c r="R33" s="363">
        <v>49</v>
      </c>
      <c r="S33" s="363">
        <v>64</v>
      </c>
      <c r="T33" s="363">
        <v>61</v>
      </c>
      <c r="U33" s="363">
        <v>44</v>
      </c>
      <c r="V33" s="363">
        <v>52.3</v>
      </c>
      <c r="W33" s="363">
        <v>61.3</v>
      </c>
      <c r="X33" s="363">
        <v>54.4</v>
      </c>
      <c r="Y33" s="363">
        <v>61.2</v>
      </c>
      <c r="Z33" s="363">
        <v>126.9</v>
      </c>
      <c r="AA33" s="363">
        <v>134.30000000000001</v>
      </c>
      <c r="AB33" s="363">
        <v>160.9</v>
      </c>
      <c r="AC33" s="363">
        <v>133.80000000000001</v>
      </c>
      <c r="AD33" s="363">
        <v>158.80000000000001</v>
      </c>
      <c r="AE33" s="363">
        <v>175.8</v>
      </c>
      <c r="AF33" s="363">
        <v>136</v>
      </c>
      <c r="AG33" s="363">
        <v>95.8</v>
      </c>
      <c r="AH33" s="363">
        <v>187</v>
      </c>
      <c r="AI33" s="363">
        <v>117.1</v>
      </c>
      <c r="AJ33" s="363">
        <v>106.1</v>
      </c>
      <c r="AK33" s="363">
        <v>94.6</v>
      </c>
      <c r="AL33" s="363">
        <v>120.5</v>
      </c>
      <c r="AM33" s="363">
        <v>97.5</v>
      </c>
      <c r="AN33" s="363">
        <v>93.7</v>
      </c>
      <c r="AO33" s="363">
        <v>78.900000000000006</v>
      </c>
      <c r="AP33" s="7"/>
      <c r="AQ33" s="7"/>
    </row>
    <row r="34" spans="1:43" x14ac:dyDescent="0.25">
      <c r="A34" s="351" t="s">
        <v>404</v>
      </c>
      <c r="B34" s="359">
        <f>'[2]BANCO DE DADOS'!$B$276</f>
        <v>26</v>
      </c>
      <c r="C34" s="359">
        <v>37</v>
      </c>
      <c r="D34" s="359">
        <v>14</v>
      </c>
      <c r="E34" s="359">
        <v>22</v>
      </c>
      <c r="F34" s="359">
        <v>8.7000000000000028</v>
      </c>
      <c r="G34" s="359">
        <v>16.100000000000001</v>
      </c>
      <c r="H34" s="359">
        <v>13.9</v>
      </c>
      <c r="I34" s="359">
        <v>8</v>
      </c>
      <c r="J34" s="360">
        <v>19</v>
      </c>
      <c r="K34" s="360" t="s">
        <v>32</v>
      </c>
      <c r="L34" s="360" t="s">
        <v>32</v>
      </c>
      <c r="M34" s="360">
        <v>17</v>
      </c>
      <c r="N34" s="360">
        <v>5</v>
      </c>
      <c r="O34" s="360">
        <v>4</v>
      </c>
      <c r="P34" s="360">
        <v>3</v>
      </c>
      <c r="Q34" s="360">
        <v>8</v>
      </c>
      <c r="R34" s="360">
        <v>2</v>
      </c>
      <c r="S34" s="360">
        <v>3</v>
      </c>
      <c r="T34" s="360">
        <v>1</v>
      </c>
      <c r="U34" s="360" t="s">
        <v>32</v>
      </c>
      <c r="V34" s="360">
        <v>1.2</v>
      </c>
      <c r="W34" s="360">
        <v>0.2</v>
      </c>
      <c r="X34" s="360">
        <v>1.5</v>
      </c>
      <c r="Y34" s="360">
        <v>1.9</v>
      </c>
      <c r="Z34" s="360">
        <v>4</v>
      </c>
      <c r="AA34" s="360">
        <v>7.4</v>
      </c>
      <c r="AB34" s="360">
        <v>8.6999999999999993</v>
      </c>
      <c r="AC34" s="360">
        <v>9.3000000000000007</v>
      </c>
      <c r="AD34" s="360">
        <v>12.7</v>
      </c>
      <c r="AE34" s="360">
        <v>2.7</v>
      </c>
      <c r="AF34" s="360">
        <v>3.3</v>
      </c>
      <c r="AG34" s="360">
        <v>2.6</v>
      </c>
      <c r="AH34" s="360">
        <v>2</v>
      </c>
      <c r="AI34" s="360">
        <v>3</v>
      </c>
      <c r="AJ34" s="360">
        <v>4</v>
      </c>
      <c r="AK34" s="360">
        <v>4.9000000000000004</v>
      </c>
      <c r="AL34" s="360">
        <v>6.6</v>
      </c>
      <c r="AM34" s="360">
        <v>7.1</v>
      </c>
      <c r="AN34" s="360">
        <v>6</v>
      </c>
      <c r="AO34" s="360">
        <v>2.1</v>
      </c>
      <c r="AP34" s="7"/>
      <c r="AQ34" s="7"/>
    </row>
    <row r="35" spans="1:43" x14ac:dyDescent="0.25">
      <c r="A35" s="357" t="s">
        <v>405</v>
      </c>
      <c r="B35" s="364">
        <f>SUM(B32:B34)</f>
        <v>132</v>
      </c>
      <c r="C35" s="364">
        <f>SUM(C32:C34)</f>
        <v>142</v>
      </c>
      <c r="D35" s="364">
        <v>90</v>
      </c>
      <c r="E35" s="364">
        <f>SUM(E32:E34)</f>
        <v>95</v>
      </c>
      <c r="F35" s="364">
        <f>SUM(F32:F34)</f>
        <v>133.80000000000001</v>
      </c>
      <c r="G35" s="364">
        <f>SUM(G32:G34)</f>
        <v>150.9</v>
      </c>
      <c r="H35" s="364">
        <f>SUM(H32:H34)</f>
        <v>165.70000000000002</v>
      </c>
      <c r="I35" s="364">
        <f t="shared" ref="I35:AO35" si="4">SUM(I32:I34)</f>
        <v>137</v>
      </c>
      <c r="J35" s="364">
        <f t="shared" si="4"/>
        <v>203</v>
      </c>
      <c r="K35" s="364">
        <f t="shared" si="4"/>
        <v>197</v>
      </c>
      <c r="L35" s="364">
        <f t="shared" si="4"/>
        <v>163</v>
      </c>
      <c r="M35" s="364">
        <f t="shared" si="4"/>
        <v>123</v>
      </c>
      <c r="N35" s="364">
        <f t="shared" si="4"/>
        <v>171</v>
      </c>
      <c r="O35" s="364">
        <f t="shared" si="4"/>
        <v>136</v>
      </c>
      <c r="P35" s="364">
        <f t="shared" si="4"/>
        <v>103</v>
      </c>
      <c r="Q35" s="364">
        <f t="shared" si="4"/>
        <v>101</v>
      </c>
      <c r="R35" s="364">
        <f t="shared" si="4"/>
        <v>96</v>
      </c>
      <c r="S35" s="364">
        <f t="shared" si="4"/>
        <v>115</v>
      </c>
      <c r="T35" s="364">
        <f t="shared" si="4"/>
        <v>101</v>
      </c>
      <c r="U35" s="364">
        <f t="shared" si="4"/>
        <v>77</v>
      </c>
      <c r="V35" s="364">
        <f t="shared" si="4"/>
        <v>127</v>
      </c>
      <c r="W35" s="364">
        <f t="shared" si="4"/>
        <v>98.399999999999991</v>
      </c>
      <c r="X35" s="364">
        <f t="shared" si="4"/>
        <v>94.9</v>
      </c>
      <c r="Y35" s="364">
        <f t="shared" si="4"/>
        <v>114.80000000000001</v>
      </c>
      <c r="Z35" s="364">
        <f t="shared" si="4"/>
        <v>192.5</v>
      </c>
      <c r="AA35" s="364">
        <f t="shared" si="4"/>
        <v>205.20000000000002</v>
      </c>
      <c r="AB35" s="364">
        <f t="shared" si="4"/>
        <v>253.89999999999998</v>
      </c>
      <c r="AC35" s="364">
        <f t="shared" si="4"/>
        <v>213.50000000000003</v>
      </c>
      <c r="AD35" s="364">
        <f t="shared" si="4"/>
        <v>259.2</v>
      </c>
      <c r="AE35" s="364">
        <f t="shared" si="4"/>
        <v>263.59999999999997</v>
      </c>
      <c r="AF35" s="364">
        <f t="shared" si="4"/>
        <v>235</v>
      </c>
      <c r="AG35" s="364">
        <f t="shared" si="4"/>
        <v>151.4</v>
      </c>
      <c r="AH35" s="364">
        <f t="shared" si="4"/>
        <v>252</v>
      </c>
      <c r="AI35" s="364">
        <f t="shared" si="4"/>
        <v>174.7</v>
      </c>
      <c r="AJ35" s="364">
        <f t="shared" si="4"/>
        <v>174</v>
      </c>
      <c r="AK35" s="364">
        <f t="shared" si="4"/>
        <v>153.79999999999998</v>
      </c>
      <c r="AL35" s="364">
        <f t="shared" si="4"/>
        <v>196.2</v>
      </c>
      <c r="AM35" s="364">
        <f t="shared" si="4"/>
        <v>166.4</v>
      </c>
      <c r="AN35" s="364">
        <f t="shared" si="4"/>
        <v>156.6</v>
      </c>
      <c r="AO35" s="364">
        <f t="shared" si="4"/>
        <v>163.70000000000002</v>
      </c>
      <c r="AP35" s="7"/>
      <c r="AQ35" s="7"/>
    </row>
    <row r="36" spans="1:43" x14ac:dyDescent="0.25">
      <c r="A36" s="35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7"/>
      <c r="AQ36" s="7"/>
    </row>
    <row r="37" spans="1:43" x14ac:dyDescent="0.25">
      <c r="A37" s="357" t="s">
        <v>406</v>
      </c>
      <c r="B37" s="364">
        <v>0</v>
      </c>
      <c r="C37" s="364">
        <v>0</v>
      </c>
      <c r="D37" s="364">
        <v>0</v>
      </c>
      <c r="E37" s="364">
        <v>0</v>
      </c>
      <c r="F37" s="364">
        <v>0</v>
      </c>
      <c r="G37" s="364">
        <v>0</v>
      </c>
      <c r="H37" s="364">
        <v>0</v>
      </c>
      <c r="I37" s="364">
        <v>0</v>
      </c>
      <c r="J37" s="364">
        <v>0</v>
      </c>
      <c r="K37" s="364">
        <v>0</v>
      </c>
      <c r="L37" s="364">
        <v>0</v>
      </c>
      <c r="M37" s="364">
        <v>0</v>
      </c>
      <c r="N37" s="364">
        <v>0</v>
      </c>
      <c r="O37" s="364">
        <v>0</v>
      </c>
      <c r="P37" s="364">
        <v>0</v>
      </c>
      <c r="Q37" s="364">
        <v>0</v>
      </c>
      <c r="R37" s="364"/>
      <c r="S37" s="364"/>
      <c r="T37" s="364"/>
      <c r="U37" s="364"/>
      <c r="V37" s="364">
        <v>364</v>
      </c>
      <c r="W37" s="364"/>
      <c r="X37" s="364"/>
      <c r="Y37" s="364"/>
      <c r="Z37" s="364">
        <v>280</v>
      </c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7"/>
      <c r="AQ37" s="7"/>
    </row>
    <row r="38" spans="1:43" x14ac:dyDescent="0.25">
      <c r="A38" s="351"/>
      <c r="B38" s="365"/>
      <c r="C38" s="365"/>
      <c r="D38" s="365"/>
      <c r="E38" s="365"/>
      <c r="F38" s="365"/>
      <c r="G38" s="365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7"/>
      <c r="AQ38" s="7"/>
    </row>
    <row r="39" spans="1:43" x14ac:dyDescent="0.25">
      <c r="A39" s="357" t="s">
        <v>407</v>
      </c>
      <c r="B39" s="364">
        <f>'[2]BANCO DE DADOS'!$B$278</f>
        <v>7</v>
      </c>
      <c r="C39" s="364">
        <v>5</v>
      </c>
      <c r="D39" s="364">
        <v>4</v>
      </c>
      <c r="E39" s="364">
        <v>6</v>
      </c>
      <c r="F39" s="364">
        <v>5.8000000000000016</v>
      </c>
      <c r="G39" s="364">
        <v>8.6</v>
      </c>
      <c r="H39" s="364">
        <v>10.9</v>
      </c>
      <c r="I39" s="364">
        <v>9</v>
      </c>
      <c r="J39" s="364">
        <v>17</v>
      </c>
      <c r="K39" s="364">
        <v>10</v>
      </c>
      <c r="L39" s="364">
        <v>10</v>
      </c>
      <c r="M39" s="364">
        <v>9</v>
      </c>
      <c r="N39" s="364">
        <v>10.4</v>
      </c>
      <c r="O39" s="364">
        <v>7.6</v>
      </c>
      <c r="P39" s="364">
        <v>6.9</v>
      </c>
      <c r="Q39" s="364">
        <v>3.0999999999999996</v>
      </c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7"/>
      <c r="AQ39" s="7"/>
    </row>
    <row r="40" spans="1:43" x14ac:dyDescent="0.25">
      <c r="A40" s="204"/>
      <c r="B40" s="366"/>
      <c r="C40" s="366"/>
      <c r="D40" s="366"/>
      <c r="E40" s="366"/>
      <c r="F40" s="366"/>
      <c r="G40" s="366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7"/>
      <c r="AQ40" s="7"/>
    </row>
    <row r="41" spans="1:43" x14ac:dyDescent="0.25">
      <c r="A41" s="357" t="s">
        <v>408</v>
      </c>
      <c r="B41" s="364">
        <f>B35+B39</f>
        <v>139</v>
      </c>
      <c r="C41" s="364">
        <f>C35+C39</f>
        <v>147</v>
      </c>
      <c r="D41" s="364">
        <f>D39+D37+D35</f>
        <v>94</v>
      </c>
      <c r="E41" s="364">
        <f>SUM(E35:E39)</f>
        <v>101</v>
      </c>
      <c r="F41" s="364">
        <f>SUM(F35:F39)</f>
        <v>139.60000000000002</v>
      </c>
      <c r="G41" s="364">
        <f>SUM(G35:G39)</f>
        <v>159.5</v>
      </c>
      <c r="H41" s="364">
        <f t="shared" ref="H41:AO41" si="5">SUM(H35:H39)</f>
        <v>176.60000000000002</v>
      </c>
      <c r="I41" s="364">
        <f t="shared" si="5"/>
        <v>146</v>
      </c>
      <c r="J41" s="364">
        <f t="shared" si="5"/>
        <v>220</v>
      </c>
      <c r="K41" s="364">
        <f t="shared" si="5"/>
        <v>207</v>
      </c>
      <c r="L41" s="364">
        <f t="shared" si="5"/>
        <v>173</v>
      </c>
      <c r="M41" s="364">
        <f t="shared" si="5"/>
        <v>132</v>
      </c>
      <c r="N41" s="364">
        <f t="shared" si="5"/>
        <v>181.4</v>
      </c>
      <c r="O41" s="364">
        <f t="shared" si="5"/>
        <v>143.6</v>
      </c>
      <c r="P41" s="364">
        <f t="shared" si="5"/>
        <v>109.9</v>
      </c>
      <c r="Q41" s="364">
        <f t="shared" si="5"/>
        <v>104.1</v>
      </c>
      <c r="R41" s="364">
        <f t="shared" si="5"/>
        <v>96</v>
      </c>
      <c r="S41" s="364">
        <f t="shared" si="5"/>
        <v>115</v>
      </c>
      <c r="T41" s="364">
        <f t="shared" si="5"/>
        <v>101</v>
      </c>
      <c r="U41" s="364">
        <f t="shared" si="5"/>
        <v>77</v>
      </c>
      <c r="V41" s="364">
        <f t="shared" si="5"/>
        <v>491</v>
      </c>
      <c r="W41" s="364">
        <f t="shared" si="5"/>
        <v>98.399999999999991</v>
      </c>
      <c r="X41" s="364">
        <f t="shared" si="5"/>
        <v>94.9</v>
      </c>
      <c r="Y41" s="364">
        <f t="shared" si="5"/>
        <v>114.80000000000001</v>
      </c>
      <c r="Z41" s="364">
        <f t="shared" si="5"/>
        <v>472.5</v>
      </c>
      <c r="AA41" s="364">
        <f t="shared" si="5"/>
        <v>205.20000000000002</v>
      </c>
      <c r="AB41" s="364">
        <f t="shared" si="5"/>
        <v>253.89999999999998</v>
      </c>
      <c r="AC41" s="364">
        <f t="shared" si="5"/>
        <v>213.50000000000003</v>
      </c>
      <c r="AD41" s="364">
        <f t="shared" si="5"/>
        <v>259.2</v>
      </c>
      <c r="AE41" s="364">
        <f t="shared" si="5"/>
        <v>263.59999999999997</v>
      </c>
      <c r="AF41" s="364">
        <f t="shared" si="5"/>
        <v>235</v>
      </c>
      <c r="AG41" s="364">
        <f t="shared" si="5"/>
        <v>151.4</v>
      </c>
      <c r="AH41" s="364">
        <f t="shared" si="5"/>
        <v>252</v>
      </c>
      <c r="AI41" s="364">
        <f t="shared" si="5"/>
        <v>174.7</v>
      </c>
      <c r="AJ41" s="364">
        <f t="shared" si="5"/>
        <v>174</v>
      </c>
      <c r="AK41" s="364">
        <f t="shared" si="5"/>
        <v>153.79999999999998</v>
      </c>
      <c r="AL41" s="364">
        <f t="shared" si="5"/>
        <v>196.2</v>
      </c>
      <c r="AM41" s="364">
        <f t="shared" si="5"/>
        <v>166.4</v>
      </c>
      <c r="AN41" s="364">
        <f t="shared" si="5"/>
        <v>156.6</v>
      </c>
      <c r="AO41" s="364">
        <f t="shared" si="5"/>
        <v>163.70000000000002</v>
      </c>
      <c r="AP41" s="7"/>
      <c r="AQ41" s="7"/>
    </row>
    <row r="42" spans="1:43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7"/>
      <c r="AQ42" s="7"/>
    </row>
    <row r="43" spans="1:43" x14ac:dyDescent="0.25">
      <c r="A43" s="33" t="s">
        <v>409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7"/>
      <c r="AQ43" s="7"/>
    </row>
    <row r="44" spans="1:43" x14ac:dyDescent="0.25">
      <c r="A44" s="33" t="s">
        <v>410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7"/>
      <c r="AQ44" s="7"/>
    </row>
    <row r="45" spans="1:4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</sheetData>
  <mergeCells count="1">
    <mergeCell ref="H1:U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zoomScale="90" zoomScaleNormal="90" workbookViewId="0">
      <selection activeCell="C26" sqref="C26"/>
    </sheetView>
  </sheetViews>
  <sheetFormatPr defaultColWidth="0" defaultRowHeight="15" zeroHeight="1" x14ac:dyDescent="0.25"/>
  <cols>
    <col min="1" max="1" width="47.85546875" customWidth="1"/>
    <col min="2" max="4" width="12.85546875" customWidth="1"/>
    <col min="5" max="7" width="9.85546875" bestFit="1" customWidth="1"/>
    <col min="8" max="8" width="9.7109375" customWidth="1"/>
    <col min="9" max="9" width="9.7109375" style="258" customWidth="1"/>
    <col min="10" max="40" width="9.7109375" style="44" customWidth="1"/>
    <col min="41" max="41" width="9.85546875" style="44" bestFit="1" customWidth="1"/>
    <col min="42" max="42" width="4.85546875" hidden="1" customWidth="1"/>
    <col min="43" max="16384" width="9.140625" hidden="1"/>
  </cols>
  <sheetData>
    <row r="1" spans="1:42" s="7" customFormat="1" ht="112.5" customHeight="1" x14ac:dyDescent="0.25">
      <c r="A1" s="39"/>
      <c r="B1" s="39"/>
      <c r="C1" s="39"/>
      <c r="D1" s="39"/>
      <c r="E1" s="39"/>
      <c r="F1" s="39"/>
      <c r="G1" s="39"/>
      <c r="H1" s="39"/>
      <c r="I1" s="23"/>
      <c r="J1" s="51"/>
      <c r="K1" s="51"/>
      <c r="L1" s="394" t="s">
        <v>121</v>
      </c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2" s="208" customFormat="1" ht="26.25" customHeight="1" x14ac:dyDescent="0.25">
      <c r="A2" s="297" t="s">
        <v>121</v>
      </c>
      <c r="B2" s="194" t="s">
        <v>443</v>
      </c>
      <c r="C2" s="194" t="s">
        <v>436</v>
      </c>
      <c r="D2" s="194" t="s">
        <v>433</v>
      </c>
      <c r="E2" s="194" t="s">
        <v>422</v>
      </c>
      <c r="F2" s="194" t="s">
        <v>400</v>
      </c>
      <c r="G2" s="194" t="s">
        <v>389</v>
      </c>
      <c r="H2" s="194" t="s">
        <v>225</v>
      </c>
      <c r="I2" s="194" t="s">
        <v>0</v>
      </c>
      <c r="J2" s="194" t="s">
        <v>1</v>
      </c>
      <c r="K2" s="194" t="s">
        <v>2</v>
      </c>
      <c r="L2" s="194" t="s">
        <v>3</v>
      </c>
      <c r="M2" s="194" t="s">
        <v>4</v>
      </c>
      <c r="N2" s="194" t="s">
        <v>5</v>
      </c>
      <c r="O2" s="194" t="s">
        <v>6</v>
      </c>
      <c r="P2" s="194" t="s">
        <v>7</v>
      </c>
      <c r="Q2" s="194" t="s">
        <v>8</v>
      </c>
      <c r="R2" s="194" t="s">
        <v>9</v>
      </c>
      <c r="S2" s="194" t="s">
        <v>10</v>
      </c>
      <c r="T2" s="194" t="s">
        <v>11</v>
      </c>
      <c r="U2" s="194" t="s">
        <v>12</v>
      </c>
      <c r="V2" s="194" t="s">
        <v>13</v>
      </c>
      <c r="W2" s="194" t="s">
        <v>14</v>
      </c>
      <c r="X2" s="194" t="s">
        <v>15</v>
      </c>
      <c r="Y2" s="194" t="s">
        <v>16</v>
      </c>
      <c r="Z2" s="194" t="s">
        <v>17</v>
      </c>
      <c r="AA2" s="194" t="s">
        <v>18</v>
      </c>
      <c r="AB2" s="194" t="s">
        <v>19</v>
      </c>
      <c r="AC2" s="194" t="s">
        <v>20</v>
      </c>
      <c r="AD2" s="194" t="s">
        <v>34</v>
      </c>
      <c r="AE2" s="194" t="s">
        <v>21</v>
      </c>
      <c r="AF2" s="194" t="s">
        <v>22</v>
      </c>
      <c r="AG2" s="194" t="s">
        <v>23</v>
      </c>
      <c r="AH2" s="194" t="s">
        <v>24</v>
      </c>
      <c r="AI2" s="194" t="s">
        <v>25</v>
      </c>
      <c r="AJ2" s="194" t="s">
        <v>26</v>
      </c>
      <c r="AK2" s="194" t="s">
        <v>27</v>
      </c>
      <c r="AL2" s="194" t="s">
        <v>28</v>
      </c>
      <c r="AM2" s="194" t="s">
        <v>29</v>
      </c>
      <c r="AN2" s="194" t="s">
        <v>30</v>
      </c>
      <c r="AO2" s="194" t="s">
        <v>31</v>
      </c>
    </row>
    <row r="3" spans="1:42" x14ac:dyDescent="0.25">
      <c r="A3" s="9" t="s">
        <v>122</v>
      </c>
      <c r="B3" s="219">
        <v>4528684</v>
      </c>
      <c r="C3" s="219">
        <v>4489472</v>
      </c>
      <c r="D3" s="219">
        <v>4444155</v>
      </c>
      <c r="E3" s="219">
        <v>4415911</v>
      </c>
      <c r="F3" s="219">
        <v>4400711</v>
      </c>
      <c r="G3" s="219">
        <v>4380276</v>
      </c>
      <c r="H3" s="219">
        <v>4365227</v>
      </c>
      <c r="I3" s="219">
        <v>4346107</v>
      </c>
      <c r="J3" s="259">
        <v>4329476</v>
      </c>
      <c r="K3" s="259">
        <v>4314360</v>
      </c>
      <c r="L3" s="259">
        <v>4310772</v>
      </c>
      <c r="M3" s="259">
        <v>4294547</v>
      </c>
      <c r="N3" s="259">
        <v>4273234</v>
      </c>
      <c r="O3" s="259">
        <v>4259745</v>
      </c>
      <c r="P3" s="259">
        <v>4238760</v>
      </c>
      <c r="Q3" s="259">
        <v>4226803</v>
      </c>
      <c r="R3" s="259">
        <v>4207775</v>
      </c>
      <c r="S3" s="259">
        <v>4185149</v>
      </c>
      <c r="T3" s="259">
        <v>4164671</v>
      </c>
      <c r="U3" s="259">
        <v>4150039</v>
      </c>
      <c r="V3" s="259">
        <v>4133980</v>
      </c>
      <c r="W3" s="259">
        <v>4106604</v>
      </c>
      <c r="X3" s="259">
        <v>4071074</v>
      </c>
      <c r="Y3" s="259">
        <v>4075224</v>
      </c>
      <c r="Z3" s="259">
        <v>4042340</v>
      </c>
      <c r="AA3" s="259">
        <v>4009782</v>
      </c>
      <c r="AB3" s="259">
        <v>3972093</v>
      </c>
      <c r="AC3" s="259">
        <v>3954809</v>
      </c>
      <c r="AD3" s="259">
        <v>3915098</v>
      </c>
      <c r="AE3" s="259">
        <v>3878640</v>
      </c>
      <c r="AF3" s="259">
        <v>3837285</v>
      </c>
      <c r="AG3" s="259">
        <v>3807550</v>
      </c>
      <c r="AH3" s="259">
        <v>3779192</v>
      </c>
      <c r="AI3" s="259">
        <v>3741915</v>
      </c>
      <c r="AJ3" s="259">
        <v>3703192</v>
      </c>
      <c r="AK3" s="259">
        <v>3661463</v>
      </c>
      <c r="AL3" s="259">
        <v>3634689</v>
      </c>
      <c r="AM3" s="259">
        <v>3597474</v>
      </c>
      <c r="AN3" s="259">
        <v>3564710</v>
      </c>
      <c r="AO3" s="259">
        <v>3535359</v>
      </c>
      <c r="AP3" s="9"/>
    </row>
    <row r="4" spans="1:42" s="7" customFormat="1" x14ac:dyDescent="0.25">
      <c r="A4" s="7" t="s">
        <v>123</v>
      </c>
      <c r="B4" s="220">
        <v>2992404.9999999995</v>
      </c>
      <c r="C4" s="220">
        <v>2971658.9999999995</v>
      </c>
      <c r="D4" s="220">
        <v>2949884</v>
      </c>
      <c r="E4" s="220">
        <v>2932269</v>
      </c>
      <c r="F4" s="220">
        <v>2921125</v>
      </c>
      <c r="G4" s="220">
        <v>2908986</v>
      </c>
      <c r="H4" s="220">
        <v>2892614</v>
      </c>
      <c r="I4" s="220">
        <v>2879187</v>
      </c>
      <c r="J4" s="260">
        <v>2867608</v>
      </c>
      <c r="K4" s="260">
        <v>2803511</v>
      </c>
      <c r="L4" s="260">
        <v>2787633</v>
      </c>
      <c r="M4" s="260">
        <v>2775599</v>
      </c>
      <c r="N4" s="260">
        <v>2755952</v>
      </c>
      <c r="O4" s="260">
        <v>2735399</v>
      </c>
      <c r="P4" s="260">
        <v>2716993</v>
      </c>
      <c r="Q4" s="260">
        <v>2698688</v>
      </c>
      <c r="R4" s="260">
        <v>2672709</v>
      </c>
      <c r="S4" s="260">
        <v>2650952</v>
      </c>
      <c r="T4" s="260">
        <v>2631499</v>
      </c>
      <c r="U4" s="260">
        <v>2614697</v>
      </c>
      <c r="V4" s="260">
        <v>2592569</v>
      </c>
      <c r="W4" s="260">
        <v>2570807</v>
      </c>
      <c r="X4" s="260">
        <v>2545771</v>
      </c>
      <c r="Y4" s="260">
        <v>2553355</v>
      </c>
      <c r="Z4" s="260">
        <v>2529108</v>
      </c>
      <c r="AA4" s="260">
        <v>2482660</v>
      </c>
      <c r="AB4" s="260">
        <v>2457430</v>
      </c>
      <c r="AC4" s="260">
        <v>2433731</v>
      </c>
      <c r="AD4" s="260">
        <v>2404141</v>
      </c>
      <c r="AE4" s="260">
        <v>2381548</v>
      </c>
      <c r="AF4" s="260">
        <v>2306489</v>
      </c>
      <c r="AG4" s="260">
        <v>2279169</v>
      </c>
      <c r="AH4" s="260">
        <v>2258604</v>
      </c>
      <c r="AI4" s="260">
        <v>2208204</v>
      </c>
      <c r="AJ4" s="260">
        <v>2177576</v>
      </c>
      <c r="AK4" s="260">
        <v>2140354</v>
      </c>
      <c r="AL4" s="260">
        <v>2111360</v>
      </c>
      <c r="AM4" s="260">
        <v>2042818</v>
      </c>
      <c r="AN4" s="260">
        <v>2012240</v>
      </c>
      <c r="AO4" s="260">
        <v>1984455</v>
      </c>
    </row>
    <row r="5" spans="1:42" x14ac:dyDescent="0.25">
      <c r="A5" s="6"/>
      <c r="B5" s="6"/>
      <c r="C5" s="6"/>
      <c r="D5" s="6"/>
      <c r="E5" s="6"/>
      <c r="F5" s="6"/>
      <c r="G5" s="6"/>
      <c r="H5" s="221"/>
      <c r="I5" s="253"/>
      <c r="J5" s="22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9"/>
    </row>
    <row r="6" spans="1:42" s="7" customFormat="1" x14ac:dyDescent="0.25">
      <c r="A6" s="7" t="s">
        <v>124</v>
      </c>
      <c r="B6" s="220">
        <v>5457996</v>
      </c>
      <c r="C6" s="220">
        <v>5412541.9999999991</v>
      </c>
      <c r="D6" s="220">
        <v>5359797</v>
      </c>
      <c r="E6" s="220">
        <v>5329704</v>
      </c>
      <c r="F6" s="220">
        <v>5310499</v>
      </c>
      <c r="G6" s="220">
        <v>5289097</v>
      </c>
      <c r="H6" s="220">
        <v>5270027</v>
      </c>
      <c r="I6" s="220">
        <v>5248902</v>
      </c>
      <c r="J6" s="260">
        <v>5229228</v>
      </c>
      <c r="K6" s="260">
        <v>5210416</v>
      </c>
      <c r="L6" s="260">
        <v>5205493</v>
      </c>
      <c r="M6" s="260">
        <v>5186900</v>
      </c>
      <c r="N6" s="260">
        <v>5162197</v>
      </c>
      <c r="O6" s="260">
        <v>5143756</v>
      </c>
      <c r="P6" s="260">
        <v>5121138</v>
      </c>
      <c r="Q6" s="260">
        <v>5106241</v>
      </c>
      <c r="R6" s="260">
        <v>5082871</v>
      </c>
      <c r="S6" s="260">
        <v>5055870</v>
      </c>
      <c r="T6" s="260">
        <v>5032689</v>
      </c>
      <c r="U6" s="260">
        <v>5012789</v>
      </c>
      <c r="V6" s="260">
        <v>4991136</v>
      </c>
      <c r="W6" s="260">
        <v>4957109</v>
      </c>
      <c r="X6" s="260">
        <v>4916958</v>
      </c>
      <c r="Y6" s="260">
        <v>4918143</v>
      </c>
      <c r="Z6" s="260">
        <v>4880242</v>
      </c>
      <c r="AA6" s="260">
        <v>4841122</v>
      </c>
      <c r="AB6" s="260">
        <v>4799370</v>
      </c>
      <c r="AC6" s="260">
        <v>4778085</v>
      </c>
      <c r="AD6" s="260">
        <v>4731449</v>
      </c>
      <c r="AE6" s="260">
        <v>4689415</v>
      </c>
      <c r="AF6" s="260">
        <v>4641597</v>
      </c>
      <c r="AG6" s="260">
        <v>4605335</v>
      </c>
      <c r="AH6" s="260">
        <v>4571955</v>
      </c>
      <c r="AI6" s="260">
        <v>4528710</v>
      </c>
      <c r="AJ6" s="260">
        <v>4481460</v>
      </c>
      <c r="AK6" s="260">
        <v>4433236</v>
      </c>
      <c r="AL6" s="260">
        <v>4402057</v>
      </c>
      <c r="AM6" s="260">
        <v>4361010</v>
      </c>
      <c r="AN6" s="260">
        <v>4324835</v>
      </c>
      <c r="AO6" s="260">
        <v>4291288</v>
      </c>
    </row>
    <row r="7" spans="1:42" x14ac:dyDescent="0.25">
      <c r="A7" s="9" t="s">
        <v>125</v>
      </c>
      <c r="B7" s="219">
        <v>3763656</v>
      </c>
      <c r="C7" s="219">
        <v>3737178</v>
      </c>
      <c r="D7" s="219">
        <v>3710641</v>
      </c>
      <c r="E7" s="219">
        <v>3690553</v>
      </c>
      <c r="F7" s="219">
        <v>3676334</v>
      </c>
      <c r="G7" s="219">
        <v>3662832.9999999995</v>
      </c>
      <c r="H7" s="219">
        <v>3642250</v>
      </c>
      <c r="I7" s="219">
        <v>3626756</v>
      </c>
      <c r="J7" s="259">
        <v>3611687.0000000005</v>
      </c>
      <c r="K7" s="259">
        <v>3538554</v>
      </c>
      <c r="L7" s="259">
        <v>3520719</v>
      </c>
      <c r="M7" s="259">
        <v>3506513</v>
      </c>
      <c r="N7" s="259">
        <v>3482558</v>
      </c>
      <c r="O7" s="259">
        <v>3459553</v>
      </c>
      <c r="P7" s="259">
        <v>3438413</v>
      </c>
      <c r="Q7" s="259">
        <v>3415722</v>
      </c>
      <c r="R7" s="259">
        <v>3385728</v>
      </c>
      <c r="S7" s="259">
        <v>3358206</v>
      </c>
      <c r="T7" s="259">
        <v>3336927</v>
      </c>
      <c r="U7" s="259">
        <v>3314437</v>
      </c>
      <c r="V7" s="259">
        <v>3289206</v>
      </c>
      <c r="W7" s="259">
        <v>3262094</v>
      </c>
      <c r="X7" s="259">
        <v>3236605</v>
      </c>
      <c r="Y7" s="259">
        <v>3240644</v>
      </c>
      <c r="Z7" s="259">
        <v>3213070</v>
      </c>
      <c r="AA7" s="259">
        <v>3156748</v>
      </c>
      <c r="AB7" s="259">
        <v>3128504</v>
      </c>
      <c r="AC7" s="259">
        <v>3098345</v>
      </c>
      <c r="AD7" s="259">
        <v>3065071</v>
      </c>
      <c r="AE7" s="259">
        <v>3038394</v>
      </c>
      <c r="AF7" s="259">
        <v>2951035</v>
      </c>
      <c r="AG7" s="259">
        <v>2918355</v>
      </c>
      <c r="AH7" s="259">
        <v>2893771</v>
      </c>
      <c r="AI7" s="259">
        <v>2836309</v>
      </c>
      <c r="AJ7" s="259">
        <v>2799572</v>
      </c>
      <c r="AK7" s="259">
        <v>2757045</v>
      </c>
      <c r="AL7" s="259">
        <v>2708870</v>
      </c>
      <c r="AM7" s="259">
        <v>2630070</v>
      </c>
      <c r="AN7" s="259">
        <v>2596330</v>
      </c>
      <c r="AO7" s="259">
        <v>2564960</v>
      </c>
      <c r="AP7" s="9"/>
    </row>
    <row r="8" spans="1:42" s="7" customFormat="1" x14ac:dyDescent="0.25">
      <c r="A8" s="31"/>
      <c r="B8" s="220"/>
      <c r="C8" s="220"/>
      <c r="D8" s="220"/>
      <c r="E8" s="220"/>
      <c r="F8" s="220"/>
      <c r="G8" s="220"/>
      <c r="H8" s="222"/>
      <c r="I8" s="254"/>
      <c r="J8" s="22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</row>
    <row r="9" spans="1:42" x14ac:dyDescent="0.25">
      <c r="A9" s="9" t="s">
        <v>126</v>
      </c>
      <c r="B9" s="317">
        <v>158601.11887000001</v>
      </c>
      <c r="C9" s="317">
        <v>153815.26057999997</v>
      </c>
      <c r="D9" s="317">
        <v>148645.46255000003</v>
      </c>
      <c r="E9" s="317">
        <v>150055.66081</v>
      </c>
      <c r="F9" s="317">
        <v>155265.73659000001</v>
      </c>
      <c r="G9" s="317">
        <v>149853.61050999997</v>
      </c>
      <c r="H9" s="219">
        <v>146487.12555</v>
      </c>
      <c r="I9" s="219">
        <v>152634.12494000001</v>
      </c>
      <c r="J9" s="259">
        <v>148154.42562000002</v>
      </c>
      <c r="K9" s="259">
        <v>141659.5</v>
      </c>
      <c r="L9" s="259">
        <v>146942.82648000002</v>
      </c>
      <c r="M9" s="259">
        <v>148704</v>
      </c>
      <c r="N9" s="259">
        <v>151349</v>
      </c>
      <c r="O9" s="259">
        <v>146308</v>
      </c>
      <c r="P9" s="259">
        <v>146321</v>
      </c>
      <c r="Q9" s="259">
        <v>148163</v>
      </c>
      <c r="R9" s="259">
        <v>151302</v>
      </c>
      <c r="S9" s="259">
        <v>145041</v>
      </c>
      <c r="T9" s="259">
        <v>148809</v>
      </c>
      <c r="U9" s="259">
        <v>148492</v>
      </c>
      <c r="V9" s="259">
        <v>151859</v>
      </c>
      <c r="W9" s="259">
        <v>144216</v>
      </c>
      <c r="X9" s="259">
        <v>138577</v>
      </c>
      <c r="Y9" s="259">
        <v>151620</v>
      </c>
      <c r="Z9" s="259">
        <v>158063</v>
      </c>
      <c r="AA9" s="259">
        <v>155860</v>
      </c>
      <c r="AB9" s="259">
        <v>160327</v>
      </c>
      <c r="AC9" s="259">
        <v>164405</v>
      </c>
      <c r="AD9" s="259">
        <v>164932</v>
      </c>
      <c r="AE9" s="259">
        <v>157260</v>
      </c>
      <c r="AF9" s="259">
        <v>158111</v>
      </c>
      <c r="AG9" s="259">
        <v>160900</v>
      </c>
      <c r="AH9" s="259">
        <v>164453</v>
      </c>
      <c r="AI9" s="259">
        <v>157717</v>
      </c>
      <c r="AJ9" s="259">
        <v>153470</v>
      </c>
      <c r="AK9" s="259">
        <v>154816</v>
      </c>
      <c r="AL9" s="259">
        <v>155194</v>
      </c>
      <c r="AM9" s="259">
        <v>157750</v>
      </c>
      <c r="AN9" s="259">
        <v>149752</v>
      </c>
      <c r="AO9" s="259">
        <v>151344</v>
      </c>
      <c r="AP9" s="9"/>
    </row>
    <row r="10" spans="1:42" s="7" customFormat="1" x14ac:dyDescent="0.25">
      <c r="A10" s="7" t="s">
        <v>127</v>
      </c>
      <c r="B10" s="310">
        <v>107107.09796000001</v>
      </c>
      <c r="C10" s="310">
        <v>103847.33430999998</v>
      </c>
      <c r="D10" s="310">
        <v>101306.07664</v>
      </c>
      <c r="E10" s="310">
        <v>102065.15188999999</v>
      </c>
      <c r="F10" s="310">
        <v>105517.50599000001</v>
      </c>
      <c r="G10" s="310">
        <v>101617.12397</v>
      </c>
      <c r="H10" s="220">
        <v>100160.00966</v>
      </c>
      <c r="I10" s="220">
        <v>102927.29</v>
      </c>
      <c r="J10" s="260">
        <v>100350.14483</v>
      </c>
      <c r="K10" s="260">
        <v>94826.099999999991</v>
      </c>
      <c r="L10" s="260">
        <v>98527.520929999999</v>
      </c>
      <c r="M10" s="260">
        <v>98806</v>
      </c>
      <c r="N10" s="260">
        <v>100609</v>
      </c>
      <c r="O10" s="260">
        <v>97375</v>
      </c>
      <c r="P10" s="260">
        <v>97901</v>
      </c>
      <c r="Q10" s="260">
        <v>97883</v>
      </c>
      <c r="R10" s="260">
        <v>100304</v>
      </c>
      <c r="S10" s="260">
        <v>95884</v>
      </c>
      <c r="T10" s="260">
        <v>98580</v>
      </c>
      <c r="U10" s="260">
        <v>97213</v>
      </c>
      <c r="V10" s="260">
        <v>98572</v>
      </c>
      <c r="W10" s="260">
        <v>93460</v>
      </c>
      <c r="X10" s="260">
        <v>90305</v>
      </c>
      <c r="Y10" s="260">
        <v>96923</v>
      </c>
      <c r="Z10" s="260">
        <v>102891</v>
      </c>
      <c r="AA10" s="260">
        <v>100896</v>
      </c>
      <c r="AB10" s="260">
        <v>103892</v>
      </c>
      <c r="AC10" s="260">
        <v>105375</v>
      </c>
      <c r="AD10" s="260">
        <v>106526</v>
      </c>
      <c r="AE10" s="260">
        <v>101842</v>
      </c>
      <c r="AF10" s="260">
        <v>102309</v>
      </c>
      <c r="AG10" s="260">
        <v>102064</v>
      </c>
      <c r="AH10" s="260">
        <v>104912</v>
      </c>
      <c r="AI10" s="260">
        <v>99512</v>
      </c>
      <c r="AJ10" s="260">
        <v>97655</v>
      </c>
      <c r="AK10" s="260">
        <v>96353</v>
      </c>
      <c r="AL10" s="260">
        <v>95972</v>
      </c>
      <c r="AM10" s="260">
        <v>95715</v>
      </c>
      <c r="AN10" s="260">
        <v>91347</v>
      </c>
      <c r="AO10" s="260">
        <v>90532</v>
      </c>
    </row>
    <row r="11" spans="1:42" x14ac:dyDescent="0.25">
      <c r="A11" s="6"/>
      <c r="B11" s="6"/>
      <c r="C11" s="6"/>
      <c r="D11" s="6"/>
      <c r="E11" s="6"/>
      <c r="F11" s="6"/>
      <c r="G11" s="6"/>
      <c r="H11" s="221"/>
      <c r="I11" s="253"/>
      <c r="J11" s="22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9"/>
    </row>
    <row r="12" spans="1:42" s="7" customFormat="1" x14ac:dyDescent="0.25">
      <c r="A12" s="7" t="s">
        <v>128</v>
      </c>
      <c r="B12" s="220" t="s">
        <v>32</v>
      </c>
      <c r="C12" s="220" t="s">
        <v>32</v>
      </c>
      <c r="D12" s="220" t="s">
        <v>32</v>
      </c>
      <c r="E12" s="220" t="s">
        <v>32</v>
      </c>
      <c r="F12" s="220" t="s">
        <v>32</v>
      </c>
      <c r="G12" s="220" t="s">
        <v>32</v>
      </c>
      <c r="H12" s="220" t="s">
        <v>32</v>
      </c>
      <c r="I12" s="220" t="s">
        <v>32</v>
      </c>
      <c r="J12" s="262" t="s">
        <v>32</v>
      </c>
      <c r="K12" s="262" t="s">
        <v>32</v>
      </c>
      <c r="L12" s="262" t="s">
        <v>32</v>
      </c>
      <c r="M12" s="262" t="s">
        <v>32</v>
      </c>
      <c r="N12" s="262" t="s">
        <v>32</v>
      </c>
      <c r="O12" s="262" t="s">
        <v>32</v>
      </c>
      <c r="P12" s="262" t="s">
        <v>32</v>
      </c>
      <c r="Q12" s="262" t="s">
        <v>32</v>
      </c>
      <c r="R12" s="262" t="s">
        <v>32</v>
      </c>
      <c r="S12" s="262" t="s">
        <v>32</v>
      </c>
      <c r="T12" s="262" t="s">
        <v>32</v>
      </c>
      <c r="U12" s="260">
        <v>162848</v>
      </c>
      <c r="V12" s="260">
        <v>165393</v>
      </c>
      <c r="W12" s="260">
        <v>158705</v>
      </c>
      <c r="X12" s="260">
        <v>154187</v>
      </c>
      <c r="Y12" s="260">
        <v>166194</v>
      </c>
      <c r="Z12" s="260">
        <v>171486</v>
      </c>
      <c r="AA12" s="260">
        <v>169223</v>
      </c>
      <c r="AB12" s="260">
        <v>173087</v>
      </c>
      <c r="AC12" s="260">
        <v>175942</v>
      </c>
      <c r="AD12" s="260">
        <v>176053</v>
      </c>
      <c r="AE12" s="260">
        <v>168563</v>
      </c>
      <c r="AF12" s="260">
        <v>169058</v>
      </c>
      <c r="AG12" s="260">
        <v>170685</v>
      </c>
      <c r="AH12" s="260">
        <v>173404</v>
      </c>
      <c r="AI12" s="260">
        <v>166654</v>
      </c>
      <c r="AJ12" s="260">
        <v>163397</v>
      </c>
      <c r="AK12" s="260">
        <v>163871</v>
      </c>
      <c r="AL12" s="260">
        <v>164444</v>
      </c>
      <c r="AM12" s="260">
        <v>166325</v>
      </c>
      <c r="AN12" s="260">
        <v>159346</v>
      </c>
      <c r="AO12" s="260">
        <v>159592</v>
      </c>
    </row>
    <row r="13" spans="1:42" x14ac:dyDescent="0.25">
      <c r="A13" s="9" t="s">
        <v>129</v>
      </c>
      <c r="B13" s="219" t="s">
        <v>32</v>
      </c>
      <c r="C13" s="219" t="s">
        <v>32</v>
      </c>
      <c r="D13" s="219" t="s">
        <v>32</v>
      </c>
      <c r="E13" s="219" t="s">
        <v>32</v>
      </c>
      <c r="F13" s="219" t="s">
        <v>32</v>
      </c>
      <c r="G13" s="219" t="s">
        <v>32</v>
      </c>
      <c r="H13" s="219" t="s">
        <v>32</v>
      </c>
      <c r="I13" s="219" t="s">
        <v>32</v>
      </c>
      <c r="J13" s="261" t="s">
        <v>32</v>
      </c>
      <c r="K13" s="261" t="s">
        <v>32</v>
      </c>
      <c r="L13" s="261" t="s">
        <v>32</v>
      </c>
      <c r="M13" s="261" t="s">
        <v>32</v>
      </c>
      <c r="N13" s="261" t="s">
        <v>32</v>
      </c>
      <c r="O13" s="261" t="s">
        <v>32</v>
      </c>
      <c r="P13" s="261" t="s">
        <v>32</v>
      </c>
      <c r="Q13" s="261" t="s">
        <v>32</v>
      </c>
      <c r="R13" s="261" t="s">
        <v>32</v>
      </c>
      <c r="S13" s="261" t="s">
        <v>32</v>
      </c>
      <c r="T13" s="261" t="s">
        <v>32</v>
      </c>
      <c r="U13" s="259">
        <v>108302</v>
      </c>
      <c r="V13" s="259">
        <v>108975</v>
      </c>
      <c r="W13" s="259">
        <v>104550</v>
      </c>
      <c r="X13" s="259">
        <v>101959</v>
      </c>
      <c r="Y13" s="259">
        <v>108122</v>
      </c>
      <c r="Z13" s="259">
        <v>113468</v>
      </c>
      <c r="AA13" s="259">
        <v>111398</v>
      </c>
      <c r="AB13" s="259">
        <v>114018</v>
      </c>
      <c r="AC13" s="259">
        <v>114563</v>
      </c>
      <c r="AD13" s="259">
        <v>115429</v>
      </c>
      <c r="AE13" s="259">
        <v>110727</v>
      </c>
      <c r="AF13" s="259">
        <v>110721</v>
      </c>
      <c r="AG13" s="259">
        <v>109877</v>
      </c>
      <c r="AH13" s="259">
        <v>111475</v>
      </c>
      <c r="AI13" s="259">
        <v>107171</v>
      </c>
      <c r="AJ13" s="259">
        <v>105510</v>
      </c>
      <c r="AK13" s="259">
        <v>104064</v>
      </c>
      <c r="AL13" s="259">
        <v>103348</v>
      </c>
      <c r="AM13" s="259">
        <v>102816</v>
      </c>
      <c r="AN13" s="259">
        <v>98754</v>
      </c>
      <c r="AO13" s="259">
        <v>97633</v>
      </c>
      <c r="AP13" s="9"/>
    </row>
    <row r="14" spans="1:42" s="7" customFormat="1" x14ac:dyDescent="0.25">
      <c r="A14" s="31"/>
      <c r="B14" s="220"/>
      <c r="C14" s="220"/>
      <c r="D14" s="220"/>
      <c r="E14" s="220"/>
      <c r="F14" s="31"/>
      <c r="G14" s="31"/>
      <c r="H14" s="222"/>
      <c r="I14" s="254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</row>
    <row r="15" spans="1:42" x14ac:dyDescent="0.25">
      <c r="A15" s="9" t="s">
        <v>392</v>
      </c>
      <c r="B15" s="317">
        <v>77213.683999999994</v>
      </c>
      <c r="C15" s="317">
        <v>82405.304640000002</v>
      </c>
      <c r="D15" s="317">
        <v>76952.487999999998</v>
      </c>
      <c r="E15" s="317">
        <v>77597.377999999997</v>
      </c>
      <c r="F15" s="317">
        <v>75327.465880000018</v>
      </c>
      <c r="G15" s="317">
        <v>72739.581120000003</v>
      </c>
      <c r="H15" s="219">
        <v>75871.547000000006</v>
      </c>
      <c r="I15" s="219">
        <v>79411.751999999993</v>
      </c>
      <c r="J15" s="259">
        <v>76192.146440000011</v>
      </c>
      <c r="K15" s="259">
        <v>68900.751359999995</v>
      </c>
      <c r="L15" s="259">
        <v>67458.407000000007</v>
      </c>
      <c r="M15" s="259">
        <v>73941</v>
      </c>
      <c r="N15" s="259">
        <v>69388</v>
      </c>
      <c r="O15" s="259">
        <v>64466</v>
      </c>
      <c r="P15" s="259">
        <v>62937</v>
      </c>
      <c r="Q15" s="259">
        <v>63945</v>
      </c>
      <c r="R15" s="259">
        <v>61165</v>
      </c>
      <c r="S15" s="259">
        <v>59871</v>
      </c>
      <c r="T15" s="259">
        <v>61175</v>
      </c>
      <c r="U15" s="259">
        <v>65957</v>
      </c>
      <c r="V15" s="259">
        <v>61883</v>
      </c>
      <c r="W15" s="259">
        <v>57085</v>
      </c>
      <c r="X15" s="259">
        <v>60184</v>
      </c>
      <c r="Y15" s="259">
        <v>63941</v>
      </c>
      <c r="Z15" s="259">
        <v>64369</v>
      </c>
      <c r="AA15" s="259">
        <v>62616</v>
      </c>
      <c r="AB15" s="259">
        <v>62061</v>
      </c>
      <c r="AC15" s="259">
        <v>62826</v>
      </c>
      <c r="AD15" s="259">
        <v>63431</v>
      </c>
      <c r="AE15" s="259">
        <v>57622</v>
      </c>
      <c r="AF15" s="259">
        <v>57825</v>
      </c>
      <c r="AG15" s="259">
        <v>58513</v>
      </c>
      <c r="AH15" s="259">
        <v>56666</v>
      </c>
      <c r="AI15" s="259">
        <v>50257</v>
      </c>
      <c r="AJ15" s="259">
        <v>52068</v>
      </c>
      <c r="AK15" s="259">
        <v>52101</v>
      </c>
      <c r="AL15" s="259">
        <v>50337</v>
      </c>
      <c r="AM15" s="259">
        <v>40734</v>
      </c>
      <c r="AN15" s="259">
        <v>43567</v>
      </c>
      <c r="AO15" s="259">
        <v>47573</v>
      </c>
      <c r="AP15" s="9"/>
    </row>
    <row r="16" spans="1:42" s="7" customFormat="1" x14ac:dyDescent="0.25">
      <c r="A16" s="7" t="s">
        <v>393</v>
      </c>
      <c r="B16" s="310">
        <v>259930.41800000001</v>
      </c>
      <c r="C16" s="310">
        <v>259640.614</v>
      </c>
      <c r="D16" s="310">
        <v>250151.163</v>
      </c>
      <c r="E16" s="310">
        <v>249509.69500000001</v>
      </c>
      <c r="F16" s="310">
        <v>250865.304</v>
      </c>
      <c r="G16" s="310">
        <v>253020.48300000001</v>
      </c>
      <c r="H16" s="220">
        <v>249674.27499999999</v>
      </c>
      <c r="I16" s="220">
        <v>247230.13500000001</v>
      </c>
      <c r="J16" s="260">
        <v>243628.33199999994</v>
      </c>
      <c r="K16" s="260">
        <v>243501.96100000001</v>
      </c>
      <c r="L16" s="260">
        <v>246591.853</v>
      </c>
      <c r="M16" s="260">
        <v>242270</v>
      </c>
      <c r="N16" s="260">
        <v>240998.69999999995</v>
      </c>
      <c r="O16" s="260">
        <v>242893</v>
      </c>
      <c r="P16" s="260">
        <v>237316</v>
      </c>
      <c r="Q16" s="260">
        <v>238371</v>
      </c>
      <c r="R16" s="260">
        <v>235869</v>
      </c>
      <c r="S16" s="260">
        <v>235126</v>
      </c>
      <c r="T16" s="260">
        <v>234128</v>
      </c>
      <c r="U16" s="260">
        <v>230174</v>
      </c>
      <c r="V16" s="260">
        <v>231677</v>
      </c>
      <c r="W16" s="260">
        <v>225627</v>
      </c>
      <c r="X16" s="260">
        <v>223498</v>
      </c>
      <c r="Y16" s="260">
        <v>229682</v>
      </c>
      <c r="Z16" s="260">
        <v>237417</v>
      </c>
      <c r="AA16" s="260">
        <v>244012</v>
      </c>
      <c r="AB16" s="260">
        <v>243534</v>
      </c>
      <c r="AC16" s="260">
        <v>248801</v>
      </c>
      <c r="AD16" s="260">
        <v>246313</v>
      </c>
      <c r="AE16" s="260">
        <v>247137</v>
      </c>
      <c r="AF16" s="260">
        <v>240159</v>
      </c>
      <c r="AG16" s="260">
        <v>240276</v>
      </c>
      <c r="AH16" s="260">
        <v>246829</v>
      </c>
      <c r="AI16" s="260">
        <v>240336</v>
      </c>
      <c r="AJ16" s="260">
        <v>228535</v>
      </c>
      <c r="AK16" s="260">
        <v>233116</v>
      </c>
      <c r="AL16" s="260">
        <v>227369</v>
      </c>
      <c r="AM16" s="260">
        <v>234306</v>
      </c>
      <c r="AN16" s="260">
        <v>223511</v>
      </c>
      <c r="AO16" s="260">
        <v>225704</v>
      </c>
    </row>
    <row r="17" spans="1:42" x14ac:dyDescent="0.25">
      <c r="A17" s="8"/>
      <c r="B17" s="8"/>
      <c r="C17" s="8"/>
      <c r="D17" s="8"/>
      <c r="E17" s="8"/>
      <c r="F17" s="8"/>
      <c r="G17" s="8"/>
      <c r="H17" s="221"/>
      <c r="I17" s="253"/>
      <c r="J17" s="22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9"/>
    </row>
    <row r="18" spans="1:42" s="7" customFormat="1" x14ac:dyDescent="0.25">
      <c r="A18" s="27" t="s">
        <v>96</v>
      </c>
      <c r="B18" s="220">
        <v>54638.400000000001</v>
      </c>
      <c r="C18" s="220">
        <v>56682.262999999999</v>
      </c>
      <c r="D18" s="220">
        <v>56456.843000000001</v>
      </c>
      <c r="E18" s="220">
        <v>56472.955999999998</v>
      </c>
      <c r="F18" s="220">
        <v>55837.356999999996</v>
      </c>
      <c r="G18" s="220">
        <v>55623.717000000004</v>
      </c>
      <c r="H18" s="220">
        <v>55335.29</v>
      </c>
      <c r="I18" s="198">
        <v>55450.924999999996</v>
      </c>
      <c r="J18" s="32">
        <v>54906.14</v>
      </c>
      <c r="K18" s="32">
        <v>53620.692000000003</v>
      </c>
      <c r="L18" s="32">
        <v>53488.502</v>
      </c>
      <c r="M18" s="260">
        <v>53182</v>
      </c>
      <c r="N18" s="260">
        <v>53123</v>
      </c>
      <c r="O18" s="260">
        <v>52956</v>
      </c>
      <c r="P18" s="260">
        <v>52747</v>
      </c>
      <c r="Q18" s="260">
        <v>52512</v>
      </c>
      <c r="R18" s="260">
        <v>51688</v>
      </c>
      <c r="S18" s="260">
        <v>51436</v>
      </c>
      <c r="T18" s="260">
        <v>51269</v>
      </c>
      <c r="U18" s="260">
        <v>50928</v>
      </c>
      <c r="V18" s="260">
        <v>49886</v>
      </c>
      <c r="W18" s="260">
        <v>49135</v>
      </c>
      <c r="X18" s="260">
        <v>48865</v>
      </c>
      <c r="Y18" s="260">
        <v>48805</v>
      </c>
      <c r="Z18" s="260">
        <v>48531</v>
      </c>
      <c r="AA18" s="260">
        <v>48151</v>
      </c>
      <c r="AB18" s="260">
        <v>47474</v>
      </c>
      <c r="AC18" s="260">
        <v>47053</v>
      </c>
      <c r="AD18" s="260">
        <v>46620</v>
      </c>
      <c r="AE18" s="260">
        <v>45792</v>
      </c>
      <c r="AF18" s="260">
        <v>45417</v>
      </c>
      <c r="AG18" s="260">
        <v>44927</v>
      </c>
      <c r="AH18" s="260">
        <v>44864</v>
      </c>
      <c r="AI18" s="260">
        <v>44673</v>
      </c>
      <c r="AJ18" s="260">
        <v>44476</v>
      </c>
      <c r="AK18" s="260">
        <v>44270</v>
      </c>
      <c r="AL18" s="260">
        <v>43906</v>
      </c>
      <c r="AM18" s="260">
        <v>43538</v>
      </c>
      <c r="AN18" s="260">
        <v>43325</v>
      </c>
      <c r="AO18" s="260">
        <v>43325</v>
      </c>
    </row>
    <row r="19" spans="1:42" x14ac:dyDescent="0.25">
      <c r="A19" s="5" t="s">
        <v>97</v>
      </c>
      <c r="B19" s="219">
        <v>27691.15</v>
      </c>
      <c r="C19" s="219">
        <v>28956.142</v>
      </c>
      <c r="D19" s="219">
        <v>28766.875</v>
      </c>
      <c r="E19" s="219">
        <v>28392.967999999997</v>
      </c>
      <c r="F19" s="219">
        <v>28166.272000000001</v>
      </c>
      <c r="G19" s="219">
        <v>28031.3</v>
      </c>
      <c r="H19" s="219">
        <v>27659.151000000002</v>
      </c>
      <c r="I19" s="197">
        <v>28375.267</v>
      </c>
      <c r="J19" s="29">
        <v>28103.257000000001</v>
      </c>
      <c r="K19" s="29">
        <v>27992.799999999999</v>
      </c>
      <c r="L19" s="29">
        <v>26882.14</v>
      </c>
      <c r="M19" s="259">
        <v>26973</v>
      </c>
      <c r="N19" s="259">
        <v>26613</v>
      </c>
      <c r="O19" s="259">
        <v>26012</v>
      </c>
      <c r="P19" s="259">
        <v>25916</v>
      </c>
      <c r="Q19" s="259">
        <v>25795</v>
      </c>
      <c r="R19" s="259">
        <v>25151</v>
      </c>
      <c r="S19" s="259">
        <v>24863</v>
      </c>
      <c r="T19" s="259">
        <v>24669</v>
      </c>
      <c r="U19" s="259">
        <v>24511</v>
      </c>
      <c r="V19" s="259">
        <v>24125</v>
      </c>
      <c r="W19" s="259">
        <v>23698</v>
      </c>
      <c r="X19" s="259">
        <v>23476</v>
      </c>
      <c r="Y19" s="259">
        <v>23526</v>
      </c>
      <c r="Z19" s="259">
        <v>23375</v>
      </c>
      <c r="AA19" s="259">
        <v>23092</v>
      </c>
      <c r="AB19" s="259">
        <v>22771</v>
      </c>
      <c r="AC19" s="259">
        <v>22459</v>
      </c>
      <c r="AD19" s="259">
        <v>22138</v>
      </c>
      <c r="AE19" s="259">
        <v>21523</v>
      </c>
      <c r="AF19" s="259">
        <v>20794</v>
      </c>
      <c r="AG19" s="259">
        <v>20216</v>
      </c>
      <c r="AH19" s="259">
        <v>20093</v>
      </c>
      <c r="AI19" s="259">
        <v>20794</v>
      </c>
      <c r="AJ19" s="259">
        <v>18569</v>
      </c>
      <c r="AK19" s="259">
        <v>18360</v>
      </c>
      <c r="AL19" s="259">
        <v>18105</v>
      </c>
      <c r="AM19" s="259">
        <v>17364</v>
      </c>
      <c r="AN19" s="259">
        <v>16499</v>
      </c>
      <c r="AO19" s="259">
        <v>16406</v>
      </c>
      <c r="AP19" s="9"/>
    </row>
    <row r="20" spans="1:42" s="7" customFormat="1" x14ac:dyDescent="0.25">
      <c r="A20" s="27" t="s">
        <v>394</v>
      </c>
      <c r="B20" s="220">
        <v>11393</v>
      </c>
      <c r="C20" s="220">
        <v>11442</v>
      </c>
      <c r="D20" s="220">
        <v>11454</v>
      </c>
      <c r="E20" s="220">
        <v>11481</v>
      </c>
      <c r="F20" s="220">
        <v>11525</v>
      </c>
      <c r="G20" s="220">
        <v>11551</v>
      </c>
      <c r="H20" s="220">
        <v>11558</v>
      </c>
      <c r="I20" s="198">
        <v>11534</v>
      </c>
      <c r="J20" s="260">
        <v>11547</v>
      </c>
      <c r="K20" s="260">
        <v>11516</v>
      </c>
      <c r="L20" s="260">
        <v>11356</v>
      </c>
      <c r="M20" s="260">
        <v>11259</v>
      </c>
      <c r="N20" s="260">
        <v>11262</v>
      </c>
      <c r="O20" s="260">
        <v>11260</v>
      </c>
      <c r="P20" s="260">
        <v>11267</v>
      </c>
      <c r="Q20" s="260">
        <v>11326</v>
      </c>
      <c r="R20" s="260">
        <v>11325</v>
      </c>
      <c r="S20" s="260">
        <v>11293</v>
      </c>
      <c r="T20" s="260">
        <v>11240</v>
      </c>
      <c r="U20" s="260">
        <v>11261</v>
      </c>
      <c r="V20" s="260">
        <v>11986</v>
      </c>
      <c r="W20" s="260">
        <v>12098</v>
      </c>
      <c r="X20" s="260">
        <v>12272</v>
      </c>
      <c r="Y20" s="260">
        <v>12549</v>
      </c>
      <c r="Z20" s="260">
        <v>12540</v>
      </c>
      <c r="AA20" s="260">
        <v>12136</v>
      </c>
      <c r="AB20" s="260">
        <v>11920</v>
      </c>
      <c r="AC20" s="260">
        <v>11857</v>
      </c>
      <c r="AD20" s="260">
        <v>11865</v>
      </c>
      <c r="AE20" s="260">
        <v>11911</v>
      </c>
      <c r="AF20" s="260">
        <v>11827</v>
      </c>
      <c r="AG20" s="260">
        <v>11548</v>
      </c>
      <c r="AH20" s="260">
        <v>11611</v>
      </c>
      <c r="AI20" s="260">
        <v>11827</v>
      </c>
      <c r="AJ20" s="260">
        <v>11518</v>
      </c>
      <c r="AK20" s="260">
        <v>11508</v>
      </c>
      <c r="AL20" s="260">
        <v>11536</v>
      </c>
      <c r="AM20" s="260">
        <v>11482</v>
      </c>
      <c r="AN20" s="260">
        <v>11430</v>
      </c>
      <c r="AO20" s="260">
        <v>11394</v>
      </c>
    </row>
    <row r="21" spans="1:42" x14ac:dyDescent="0.25">
      <c r="A21" s="8"/>
      <c r="B21" s="8"/>
      <c r="C21" s="8"/>
      <c r="D21" s="8"/>
      <c r="E21" s="8"/>
      <c r="F21" s="8"/>
      <c r="G21" s="8"/>
      <c r="H21" s="221"/>
      <c r="I21" s="253"/>
      <c r="J21" s="22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9"/>
    </row>
    <row r="22" spans="1:42" s="7" customFormat="1" x14ac:dyDescent="0.25">
      <c r="A22" s="27" t="s">
        <v>98</v>
      </c>
      <c r="B22" s="223">
        <v>640</v>
      </c>
      <c r="C22" s="223">
        <v>640</v>
      </c>
      <c r="D22" s="223">
        <v>641</v>
      </c>
      <c r="E22" s="223">
        <v>641</v>
      </c>
      <c r="F22" s="223">
        <v>641</v>
      </c>
      <c r="G22" s="223">
        <v>641</v>
      </c>
      <c r="H22" s="223">
        <v>642</v>
      </c>
      <c r="I22" s="198">
        <v>639</v>
      </c>
      <c r="J22" s="223">
        <v>638</v>
      </c>
      <c r="K22" s="262">
        <v>636</v>
      </c>
      <c r="L22" s="262">
        <v>636</v>
      </c>
      <c r="M22" s="262">
        <v>636</v>
      </c>
      <c r="N22" s="262">
        <v>636</v>
      </c>
      <c r="O22" s="262">
        <v>636</v>
      </c>
      <c r="P22" s="262">
        <v>635</v>
      </c>
      <c r="Q22" s="262">
        <v>635</v>
      </c>
      <c r="R22" s="262">
        <v>635</v>
      </c>
      <c r="S22" s="262">
        <v>634</v>
      </c>
      <c r="T22" s="262">
        <v>634</v>
      </c>
      <c r="U22" s="262">
        <v>634</v>
      </c>
      <c r="V22" s="262">
        <v>634</v>
      </c>
      <c r="W22" s="262">
        <v>634</v>
      </c>
      <c r="X22" s="262">
        <v>634</v>
      </c>
      <c r="Y22" s="262">
        <v>635</v>
      </c>
      <c r="Z22" s="262">
        <v>635</v>
      </c>
      <c r="AA22" s="262">
        <v>631</v>
      </c>
      <c r="AB22" s="262">
        <v>631</v>
      </c>
      <c r="AC22" s="262">
        <v>626</v>
      </c>
      <c r="AD22" s="262">
        <v>626</v>
      </c>
      <c r="AE22" s="262">
        <v>626</v>
      </c>
      <c r="AF22" s="262">
        <v>625</v>
      </c>
      <c r="AG22" s="262">
        <v>625</v>
      </c>
      <c r="AH22" s="262">
        <v>625</v>
      </c>
      <c r="AI22" s="262">
        <v>624</v>
      </c>
      <c r="AJ22" s="262">
        <v>624</v>
      </c>
      <c r="AK22" s="262">
        <v>622</v>
      </c>
      <c r="AL22" s="262">
        <v>620</v>
      </c>
      <c r="AM22" s="262">
        <v>619</v>
      </c>
      <c r="AN22" s="262">
        <v>618</v>
      </c>
      <c r="AO22" s="262">
        <v>617</v>
      </c>
    </row>
    <row r="23" spans="1:42" x14ac:dyDescent="0.25">
      <c r="A23" s="5" t="s">
        <v>99</v>
      </c>
      <c r="B23" s="15">
        <v>310</v>
      </c>
      <c r="C23" s="15">
        <v>310</v>
      </c>
      <c r="D23" s="15">
        <v>311</v>
      </c>
      <c r="E23" s="15">
        <v>311</v>
      </c>
      <c r="F23" s="15">
        <v>311</v>
      </c>
      <c r="G23" s="15">
        <v>311</v>
      </c>
      <c r="H23" s="15">
        <v>311</v>
      </c>
      <c r="I23" s="197">
        <v>309</v>
      </c>
      <c r="J23" s="15">
        <v>307</v>
      </c>
      <c r="K23" s="261">
        <v>304</v>
      </c>
      <c r="L23" s="261">
        <v>303</v>
      </c>
      <c r="M23" s="261">
        <v>303</v>
      </c>
      <c r="N23" s="261">
        <v>302</v>
      </c>
      <c r="O23" s="261">
        <v>300</v>
      </c>
      <c r="P23" s="261">
        <v>299</v>
      </c>
      <c r="Q23" s="261">
        <v>299</v>
      </c>
      <c r="R23" s="261">
        <v>299</v>
      </c>
      <c r="S23" s="261">
        <v>298</v>
      </c>
      <c r="T23" s="261">
        <v>298</v>
      </c>
      <c r="U23" s="261">
        <v>294</v>
      </c>
      <c r="V23" s="261">
        <v>294</v>
      </c>
      <c r="W23" s="261">
        <v>292</v>
      </c>
      <c r="X23" s="261">
        <v>287</v>
      </c>
      <c r="Y23" s="261">
        <v>288</v>
      </c>
      <c r="Z23" s="261">
        <v>288</v>
      </c>
      <c r="AA23" s="261">
        <v>288</v>
      </c>
      <c r="AB23" s="261">
        <v>288</v>
      </c>
      <c r="AC23" s="261">
        <v>283</v>
      </c>
      <c r="AD23" s="261">
        <v>283</v>
      </c>
      <c r="AE23" s="261">
        <v>283</v>
      </c>
      <c r="AF23" s="261">
        <v>279</v>
      </c>
      <c r="AG23" s="261">
        <v>279</v>
      </c>
      <c r="AH23" s="261">
        <v>277</v>
      </c>
      <c r="AI23" s="261">
        <v>239</v>
      </c>
      <c r="AJ23" s="261">
        <v>236</v>
      </c>
      <c r="AK23" s="261">
        <v>228</v>
      </c>
      <c r="AL23" s="261">
        <v>225</v>
      </c>
      <c r="AM23" s="261">
        <v>223</v>
      </c>
      <c r="AN23" s="261">
        <v>220</v>
      </c>
      <c r="AO23" s="261">
        <v>213</v>
      </c>
      <c r="AP23" s="9"/>
    </row>
    <row r="24" spans="1:42" s="7" customFormat="1" x14ac:dyDescent="0.25">
      <c r="A24" s="27" t="s">
        <v>100</v>
      </c>
      <c r="B24" s="223">
        <v>630</v>
      </c>
      <c r="C24" s="223">
        <v>629</v>
      </c>
      <c r="D24" s="223">
        <v>629</v>
      </c>
      <c r="E24" s="223">
        <v>629</v>
      </c>
      <c r="F24" s="223">
        <v>629</v>
      </c>
      <c r="G24" s="223">
        <v>629</v>
      </c>
      <c r="H24" s="223">
        <v>629</v>
      </c>
      <c r="I24" s="198">
        <v>629</v>
      </c>
      <c r="J24" s="223">
        <v>629</v>
      </c>
      <c r="K24" s="262">
        <v>628</v>
      </c>
      <c r="L24" s="262">
        <v>628</v>
      </c>
      <c r="M24" s="262">
        <v>628</v>
      </c>
      <c r="N24" s="262">
        <v>627</v>
      </c>
      <c r="O24" s="262">
        <v>626</v>
      </c>
      <c r="P24" s="262">
        <v>626</v>
      </c>
      <c r="Q24" s="262">
        <v>626</v>
      </c>
      <c r="R24" s="262">
        <v>626</v>
      </c>
      <c r="S24" s="262">
        <v>626</v>
      </c>
      <c r="T24" s="262">
        <v>624</v>
      </c>
      <c r="U24" s="262">
        <v>623</v>
      </c>
      <c r="V24" s="262">
        <v>623</v>
      </c>
      <c r="W24" s="262">
        <v>621</v>
      </c>
      <c r="X24" s="262">
        <v>619</v>
      </c>
      <c r="Y24" s="262">
        <v>620</v>
      </c>
      <c r="Z24" s="262">
        <v>618</v>
      </c>
      <c r="AA24" s="262">
        <v>617</v>
      </c>
      <c r="AB24" s="262">
        <v>617</v>
      </c>
      <c r="AC24" s="262">
        <v>617</v>
      </c>
      <c r="AD24" s="262">
        <v>617</v>
      </c>
      <c r="AE24" s="262">
        <v>615</v>
      </c>
      <c r="AF24" s="262">
        <v>612</v>
      </c>
      <c r="AG24" s="262">
        <v>612</v>
      </c>
      <c r="AH24" s="262">
        <v>612</v>
      </c>
      <c r="AI24" s="262">
        <v>611</v>
      </c>
      <c r="AJ24" s="262">
        <v>611</v>
      </c>
      <c r="AK24" s="262">
        <v>611</v>
      </c>
      <c r="AL24" s="262">
        <v>606</v>
      </c>
      <c r="AM24" s="262">
        <v>606</v>
      </c>
      <c r="AN24" s="262">
        <v>605</v>
      </c>
      <c r="AO24" s="262">
        <v>603</v>
      </c>
    </row>
    <row r="25" spans="1:42" x14ac:dyDescent="0.25">
      <c r="A25" s="5" t="s">
        <v>101</v>
      </c>
      <c r="B25" s="15">
        <v>310</v>
      </c>
      <c r="C25" s="15">
        <v>265</v>
      </c>
      <c r="D25" s="15">
        <v>264</v>
      </c>
      <c r="E25" s="15">
        <v>264</v>
      </c>
      <c r="F25" s="15">
        <v>263</v>
      </c>
      <c r="G25" s="15">
        <v>263</v>
      </c>
      <c r="H25" s="15">
        <v>261</v>
      </c>
      <c r="I25" s="197">
        <v>259</v>
      </c>
      <c r="J25" s="15">
        <v>257</v>
      </c>
      <c r="K25" s="261">
        <v>257</v>
      </c>
      <c r="L25" s="261">
        <v>256</v>
      </c>
      <c r="M25" s="261">
        <v>255</v>
      </c>
      <c r="N25" s="261">
        <v>251</v>
      </c>
      <c r="O25" s="261">
        <v>250</v>
      </c>
      <c r="P25" s="261">
        <v>250</v>
      </c>
      <c r="Q25" s="261">
        <v>249</v>
      </c>
      <c r="R25" s="261">
        <v>245</v>
      </c>
      <c r="S25" s="261">
        <v>243</v>
      </c>
      <c r="T25" s="261">
        <v>241</v>
      </c>
      <c r="U25" s="261">
        <v>240</v>
      </c>
      <c r="V25" s="261">
        <v>240</v>
      </c>
      <c r="W25" s="261">
        <v>239</v>
      </c>
      <c r="X25" s="261">
        <v>233</v>
      </c>
      <c r="Y25" s="261">
        <v>234</v>
      </c>
      <c r="Z25" s="261">
        <v>233</v>
      </c>
      <c r="AA25" s="261">
        <v>227</v>
      </c>
      <c r="AB25" s="261">
        <v>226</v>
      </c>
      <c r="AC25" s="261">
        <v>223</v>
      </c>
      <c r="AD25" s="261">
        <v>223</v>
      </c>
      <c r="AE25" s="261">
        <v>220</v>
      </c>
      <c r="AF25" s="261">
        <v>210</v>
      </c>
      <c r="AG25" s="261">
        <v>201</v>
      </c>
      <c r="AH25" s="261">
        <v>200</v>
      </c>
      <c r="AI25" s="261">
        <v>180</v>
      </c>
      <c r="AJ25" s="261">
        <v>179</v>
      </c>
      <c r="AK25" s="261">
        <v>178</v>
      </c>
      <c r="AL25" s="261">
        <v>176</v>
      </c>
      <c r="AM25" s="261">
        <v>174</v>
      </c>
      <c r="AN25" s="261">
        <v>167</v>
      </c>
      <c r="AO25" s="261">
        <v>162</v>
      </c>
      <c r="AP25" s="9"/>
    </row>
    <row r="26" spans="1:42" s="7" customFormat="1" x14ac:dyDescent="0.25">
      <c r="A26" s="31"/>
      <c r="B26" s="31"/>
      <c r="C26" s="31"/>
      <c r="D26" s="31"/>
      <c r="E26" s="31"/>
      <c r="F26" s="31"/>
      <c r="G26" s="31"/>
      <c r="H26" s="222"/>
      <c r="I26" s="254"/>
      <c r="J26" s="22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</row>
    <row r="27" spans="1:42" x14ac:dyDescent="0.25">
      <c r="A27" s="30" t="s">
        <v>395</v>
      </c>
      <c r="B27" s="318">
        <v>11584.4</v>
      </c>
      <c r="C27" s="318">
        <v>11552.664000000001</v>
      </c>
      <c r="D27" s="318">
        <v>11448.782999999999</v>
      </c>
      <c r="E27" s="318">
        <v>11404.966</v>
      </c>
      <c r="F27" s="318">
        <v>11395.647999999999</v>
      </c>
      <c r="G27" s="318">
        <v>11373.221</v>
      </c>
      <c r="H27" s="197">
        <v>11380.299000000001</v>
      </c>
      <c r="I27" s="197">
        <v>11573.67</v>
      </c>
      <c r="J27" s="122">
        <v>11364.739</v>
      </c>
      <c r="K27" s="122">
        <v>11333.949000000001</v>
      </c>
      <c r="L27" s="122">
        <v>11345.4</v>
      </c>
      <c r="M27" s="122">
        <v>11300</v>
      </c>
      <c r="N27" s="259">
        <v>11300</v>
      </c>
      <c r="O27" s="259">
        <v>11300</v>
      </c>
      <c r="P27" s="259">
        <v>11302</v>
      </c>
      <c r="Q27" s="259">
        <v>11301</v>
      </c>
      <c r="R27" s="259">
        <v>11333</v>
      </c>
      <c r="S27" s="259">
        <v>11287</v>
      </c>
      <c r="T27" s="259">
        <v>11263</v>
      </c>
      <c r="U27" s="259">
        <v>11265</v>
      </c>
      <c r="V27" s="259">
        <v>11270</v>
      </c>
      <c r="W27" s="259">
        <v>11239</v>
      </c>
      <c r="X27" s="259">
        <v>11200</v>
      </c>
      <c r="Y27" s="259">
        <v>11245</v>
      </c>
      <c r="Z27" s="259">
        <v>11221</v>
      </c>
      <c r="AA27" s="259">
        <v>11187</v>
      </c>
      <c r="AB27" s="259">
        <v>11150</v>
      </c>
      <c r="AC27" s="259">
        <v>11147</v>
      </c>
      <c r="AD27" s="259">
        <v>11125</v>
      </c>
      <c r="AE27" s="259">
        <v>11071</v>
      </c>
      <c r="AF27" s="259">
        <v>11023</v>
      </c>
      <c r="AG27" s="259">
        <v>10978</v>
      </c>
      <c r="AH27" s="259">
        <v>10970</v>
      </c>
      <c r="AI27" s="259">
        <v>10913</v>
      </c>
      <c r="AJ27" s="259">
        <v>10844</v>
      </c>
      <c r="AK27" s="259">
        <v>10774</v>
      </c>
      <c r="AL27" s="259">
        <v>10755</v>
      </c>
      <c r="AM27" s="259">
        <v>10695</v>
      </c>
      <c r="AN27" s="259">
        <v>10664</v>
      </c>
      <c r="AO27" s="259">
        <v>10617</v>
      </c>
      <c r="AP27" s="9"/>
    </row>
    <row r="28" spans="1:42" s="7" customFormat="1" x14ac:dyDescent="0.25">
      <c r="A28" s="33" t="s">
        <v>396</v>
      </c>
      <c r="B28" s="319">
        <v>8229.6</v>
      </c>
      <c r="C28" s="319">
        <v>8194.0990000000002</v>
      </c>
      <c r="D28" s="319">
        <v>8156.6149999999998</v>
      </c>
      <c r="E28" s="319">
        <v>8122.9040000000005</v>
      </c>
      <c r="F28" s="319">
        <v>8112.3720000000003</v>
      </c>
      <c r="G28" s="319">
        <v>8103.0060000000003</v>
      </c>
      <c r="H28" s="198">
        <v>8084.95</v>
      </c>
      <c r="I28" s="198">
        <v>8158.0839999999998</v>
      </c>
      <c r="J28" s="120">
        <v>8052.4750000000004</v>
      </c>
      <c r="K28" s="120">
        <v>7894.4260000000004</v>
      </c>
      <c r="L28" s="120">
        <v>7870.2</v>
      </c>
      <c r="M28" s="120">
        <v>7800</v>
      </c>
      <c r="N28" s="260">
        <v>7700</v>
      </c>
      <c r="O28" s="260">
        <v>7700</v>
      </c>
      <c r="P28" s="260">
        <v>7769</v>
      </c>
      <c r="Q28" s="260">
        <v>7740</v>
      </c>
      <c r="R28" s="260">
        <v>7725</v>
      </c>
      <c r="S28" s="260">
        <v>7658</v>
      </c>
      <c r="T28" s="260">
        <v>7630</v>
      </c>
      <c r="U28" s="260">
        <v>7612</v>
      </c>
      <c r="V28" s="260">
        <v>7593</v>
      </c>
      <c r="W28" s="260">
        <v>7560</v>
      </c>
      <c r="X28" s="260">
        <v>7533</v>
      </c>
      <c r="Y28" s="260">
        <v>7559</v>
      </c>
      <c r="Z28" s="260">
        <v>7538</v>
      </c>
      <c r="AA28" s="260">
        <v>7494</v>
      </c>
      <c r="AB28" s="260">
        <v>7385</v>
      </c>
      <c r="AC28" s="260">
        <v>7348</v>
      </c>
      <c r="AD28" s="260">
        <v>7328</v>
      </c>
      <c r="AE28" s="260">
        <v>7269</v>
      </c>
      <c r="AF28" s="260">
        <v>7128</v>
      </c>
      <c r="AG28" s="260">
        <v>7062</v>
      </c>
      <c r="AH28" s="260">
        <v>7043</v>
      </c>
      <c r="AI28" s="260">
        <v>6948</v>
      </c>
      <c r="AJ28" s="260">
        <v>6902</v>
      </c>
      <c r="AK28" s="260">
        <v>6829</v>
      </c>
      <c r="AL28" s="260">
        <v>6749</v>
      </c>
      <c r="AM28" s="260">
        <v>6641</v>
      </c>
      <c r="AN28" s="260">
        <v>6567</v>
      </c>
      <c r="AO28" s="260">
        <v>6440</v>
      </c>
    </row>
    <row r="29" spans="1:42" x14ac:dyDescent="0.25">
      <c r="A29" s="30"/>
      <c r="B29" s="30"/>
      <c r="C29" s="30"/>
      <c r="D29" s="30"/>
      <c r="E29" s="30"/>
      <c r="F29" s="30"/>
      <c r="G29" s="30"/>
      <c r="H29" s="178"/>
      <c r="I29" s="197"/>
      <c r="J29" s="178"/>
      <c r="K29" s="122"/>
      <c r="L29" s="122"/>
      <c r="M29" s="122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9"/>
    </row>
    <row r="30" spans="1:42" s="7" customFormat="1" x14ac:dyDescent="0.25">
      <c r="A30" s="33" t="s">
        <v>130</v>
      </c>
      <c r="B30" s="320">
        <v>89.4</v>
      </c>
      <c r="C30" s="320">
        <v>91.15</v>
      </c>
      <c r="D30" s="320">
        <v>92.1</v>
      </c>
      <c r="E30" s="320">
        <v>91.9</v>
      </c>
      <c r="F30" s="320">
        <v>91</v>
      </c>
      <c r="G30" s="320">
        <v>92.2</v>
      </c>
      <c r="H30" s="224">
        <v>90.9</v>
      </c>
      <c r="I30" s="224">
        <v>91.3</v>
      </c>
      <c r="J30" s="224">
        <v>91.75</v>
      </c>
      <c r="K30" s="263">
        <v>89.15</v>
      </c>
      <c r="L30" s="263">
        <v>92.1</v>
      </c>
      <c r="M30" s="263">
        <v>91.75</v>
      </c>
      <c r="N30" s="263">
        <v>92.4</v>
      </c>
      <c r="O30" s="264">
        <v>91.35</v>
      </c>
      <c r="P30" s="263">
        <v>90.95</v>
      </c>
      <c r="Q30" s="263">
        <v>89.25</v>
      </c>
      <c r="R30" s="263">
        <v>92.4</v>
      </c>
      <c r="S30" s="263">
        <v>90.350000000000009</v>
      </c>
      <c r="T30" s="263">
        <v>90.95</v>
      </c>
      <c r="U30" s="263">
        <v>91.65</v>
      </c>
      <c r="V30" s="263">
        <v>90.95</v>
      </c>
      <c r="W30" s="263">
        <v>92.25</v>
      </c>
      <c r="X30" s="263">
        <v>90.550000000000011</v>
      </c>
      <c r="Y30" s="263">
        <v>90.2</v>
      </c>
      <c r="Z30" s="263">
        <v>91.8</v>
      </c>
      <c r="AA30" s="263">
        <v>90.7</v>
      </c>
      <c r="AB30" s="263">
        <v>92</v>
      </c>
      <c r="AC30" s="263">
        <v>88.85</v>
      </c>
      <c r="AD30" s="263">
        <v>92.45</v>
      </c>
      <c r="AE30" s="263">
        <v>89.8</v>
      </c>
      <c r="AF30" s="263">
        <v>92.2</v>
      </c>
      <c r="AG30" s="263">
        <v>89.5</v>
      </c>
      <c r="AH30" s="263">
        <v>91.550000000000011</v>
      </c>
      <c r="AI30" s="263">
        <v>91.45</v>
      </c>
      <c r="AJ30" s="263">
        <v>91.5</v>
      </c>
      <c r="AK30" s="263">
        <v>90</v>
      </c>
      <c r="AL30" s="263">
        <v>92.4</v>
      </c>
      <c r="AM30" s="263">
        <v>93</v>
      </c>
      <c r="AN30" s="263">
        <v>90.899999999999991</v>
      </c>
      <c r="AO30" s="263">
        <v>89.1</v>
      </c>
    </row>
    <row r="31" spans="1:42" x14ac:dyDescent="0.25">
      <c r="A31" s="30" t="s">
        <v>131</v>
      </c>
      <c r="B31" s="321">
        <v>29.8</v>
      </c>
      <c r="C31" s="321">
        <v>30.383333333333336</v>
      </c>
      <c r="D31" s="321">
        <v>30.7</v>
      </c>
      <c r="E31" s="321">
        <v>30.633333333333336</v>
      </c>
      <c r="F31" s="321">
        <v>30.333333333333332</v>
      </c>
      <c r="G31" s="321">
        <v>30.733333333333334</v>
      </c>
      <c r="H31" s="225">
        <v>30.3</v>
      </c>
      <c r="I31" s="225">
        <v>30.43</v>
      </c>
      <c r="J31" s="178">
        <v>30.58</v>
      </c>
      <c r="K31" s="265">
        <v>29.716666666666669</v>
      </c>
      <c r="L31" s="265">
        <v>30.7</v>
      </c>
      <c r="M31" s="265">
        <v>30.583333333333332</v>
      </c>
      <c r="N31" s="265">
        <v>30.8</v>
      </c>
      <c r="O31" s="265">
        <v>30.45</v>
      </c>
      <c r="P31" s="265">
        <v>30.316666666666666</v>
      </c>
      <c r="Q31" s="265">
        <v>29.75</v>
      </c>
      <c r="R31" s="265">
        <v>30.8</v>
      </c>
      <c r="S31" s="265">
        <v>30.116666666666671</v>
      </c>
      <c r="T31" s="265">
        <v>30.316666666666666</v>
      </c>
      <c r="U31" s="265">
        <v>30.55</v>
      </c>
      <c r="V31" s="265">
        <v>30.316666666666666</v>
      </c>
      <c r="W31" s="265">
        <v>30.75</v>
      </c>
      <c r="X31" s="265">
        <v>30.183333333333337</v>
      </c>
      <c r="Y31" s="265">
        <v>30.066666666666666</v>
      </c>
      <c r="Z31" s="265">
        <v>30.599999999999998</v>
      </c>
      <c r="AA31" s="265">
        <v>30.233333333333334</v>
      </c>
      <c r="AB31" s="265">
        <v>30.666666666666668</v>
      </c>
      <c r="AC31" s="265">
        <v>29.616666666666664</v>
      </c>
      <c r="AD31" s="265">
        <v>30.816666666666666</v>
      </c>
      <c r="AE31" s="265">
        <v>29.933333333333334</v>
      </c>
      <c r="AF31" s="265">
        <v>30.733333333333334</v>
      </c>
      <c r="AG31" s="265">
        <v>29.833333333333332</v>
      </c>
      <c r="AH31" s="265">
        <v>30.516666666666669</v>
      </c>
      <c r="AI31" s="265">
        <v>30.483333333333334</v>
      </c>
      <c r="AJ31" s="265">
        <v>30.5</v>
      </c>
      <c r="AK31" s="265">
        <v>30</v>
      </c>
      <c r="AL31" s="265">
        <v>30.8</v>
      </c>
      <c r="AM31" s="265">
        <v>31</v>
      </c>
      <c r="AN31" s="265">
        <v>30.299999999999997</v>
      </c>
      <c r="AO31" s="265">
        <v>29.7</v>
      </c>
      <c r="AP31" s="9"/>
    </row>
    <row r="32" spans="1:42" s="7" customFormat="1" x14ac:dyDescent="0.25">
      <c r="A32" s="33"/>
      <c r="B32" s="33"/>
      <c r="C32" s="33"/>
      <c r="D32" s="33"/>
      <c r="E32" s="33"/>
      <c r="F32" s="33"/>
      <c r="G32" s="33"/>
      <c r="H32" s="33"/>
      <c r="I32" s="181"/>
      <c r="J32" s="56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</row>
    <row r="33" spans="1:42" ht="15" customHeight="1" x14ac:dyDescent="0.25">
      <c r="A33" s="228" t="s">
        <v>102</v>
      </c>
      <c r="B33" s="229"/>
      <c r="C33" s="229"/>
      <c r="D33" s="229"/>
      <c r="E33" s="229"/>
      <c r="F33" s="229"/>
      <c r="G33" s="229"/>
      <c r="H33" s="229"/>
      <c r="I33" s="255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1"/>
      <c r="AB33" s="55"/>
      <c r="AC33" s="55"/>
      <c r="AD33" s="55"/>
      <c r="AE33" s="55"/>
      <c r="AF33" s="55"/>
      <c r="AG33" s="55"/>
      <c r="AH33" s="55"/>
      <c r="AI33" s="55"/>
      <c r="AJ33" s="55"/>
      <c r="AK33" s="43"/>
      <c r="AL33" s="43"/>
      <c r="AM33" s="43"/>
      <c r="AN33" s="43"/>
      <c r="AO33" s="43"/>
      <c r="AP33" s="9"/>
    </row>
    <row r="34" spans="1:42" ht="15" customHeight="1" x14ac:dyDescent="0.25">
      <c r="A34" s="232" t="s">
        <v>103</v>
      </c>
      <c r="B34" s="233"/>
      <c r="C34" s="233"/>
      <c r="D34" s="233"/>
      <c r="E34" s="233"/>
      <c r="F34" s="233"/>
      <c r="G34" s="233"/>
      <c r="H34" s="233"/>
      <c r="I34" s="256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5"/>
      <c r="AB34" s="42"/>
      <c r="AC34" s="42"/>
      <c r="AD34" s="42"/>
      <c r="AE34" s="42"/>
      <c r="AF34" s="42"/>
      <c r="AG34" s="42"/>
      <c r="AH34" s="42"/>
      <c r="AI34" s="42"/>
      <c r="AJ34" s="42"/>
      <c r="AK34" s="43"/>
      <c r="AL34" s="43"/>
      <c r="AM34" s="43"/>
      <c r="AN34" s="43"/>
      <c r="AO34" s="43"/>
      <c r="AP34" s="9"/>
    </row>
    <row r="35" spans="1:42" ht="15" customHeight="1" x14ac:dyDescent="0.25">
      <c r="A35" s="232" t="s">
        <v>104</v>
      </c>
      <c r="B35" s="233"/>
      <c r="C35" s="233"/>
      <c r="D35" s="233"/>
      <c r="E35" s="233"/>
      <c r="F35" s="233"/>
      <c r="G35" s="233"/>
      <c r="H35" s="233"/>
      <c r="I35" s="256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5"/>
      <c r="AB35" s="42"/>
      <c r="AC35" s="42"/>
      <c r="AD35" s="42"/>
      <c r="AE35" s="42"/>
      <c r="AF35" s="42"/>
      <c r="AG35" s="42"/>
      <c r="AH35" s="42"/>
      <c r="AI35" s="42"/>
      <c r="AJ35" s="42"/>
      <c r="AK35" s="43"/>
      <c r="AL35" s="43"/>
      <c r="AM35" s="43"/>
      <c r="AN35" s="43"/>
      <c r="AO35" s="43"/>
      <c r="AP35" s="9"/>
    </row>
    <row r="36" spans="1:42" ht="15" customHeight="1" x14ac:dyDescent="0.25">
      <c r="A36" s="236" t="s">
        <v>105</v>
      </c>
      <c r="B36" s="237"/>
      <c r="C36" s="237"/>
      <c r="D36" s="237"/>
      <c r="E36" s="237"/>
      <c r="F36" s="237"/>
      <c r="G36" s="237"/>
      <c r="H36" s="237"/>
      <c r="I36" s="257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9"/>
      <c r="AB36" s="42"/>
      <c r="AC36" s="42"/>
      <c r="AD36" s="42"/>
      <c r="AE36" s="42"/>
      <c r="AF36" s="42"/>
      <c r="AG36" s="42"/>
      <c r="AH36" s="42"/>
      <c r="AI36" s="42"/>
      <c r="AJ36" s="42"/>
      <c r="AK36" s="43"/>
      <c r="AL36" s="43"/>
      <c r="AM36" s="43"/>
      <c r="AN36" s="43"/>
      <c r="AO36" s="43"/>
      <c r="AP36" s="9"/>
    </row>
    <row r="37" spans="1:42" s="7" customFormat="1" x14ac:dyDescent="0.25">
      <c r="I37" s="22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</row>
  </sheetData>
  <mergeCells count="1">
    <mergeCell ref="L1:AA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W82"/>
  <sheetViews>
    <sheetView zoomScale="90" zoomScaleNormal="90" workbookViewId="0"/>
  </sheetViews>
  <sheetFormatPr defaultColWidth="0" defaultRowHeight="15" zeroHeight="1" x14ac:dyDescent="0.25"/>
  <cols>
    <col min="1" max="1" width="54" customWidth="1"/>
    <col min="2" max="4" width="15.140625" customWidth="1"/>
    <col min="5" max="7" width="11.5703125" bestFit="1" customWidth="1"/>
    <col min="8" max="8" width="12.28515625" customWidth="1"/>
    <col min="9" max="41" width="12.5703125" style="44" customWidth="1"/>
    <col min="42" max="42" width="12.5703125" customWidth="1"/>
    <col min="43" max="43" width="12.5703125" style="7" customWidth="1"/>
    <col min="44" max="309" width="9.140625" style="289" hidden="1" customWidth="1"/>
    <col min="310" max="16384" width="12.5703125" style="289" hidden="1"/>
  </cols>
  <sheetData>
    <row r="1" spans="1:309" ht="102.75" customHeight="1" x14ac:dyDescent="0.25">
      <c r="A1" s="39"/>
      <c r="B1" s="39"/>
      <c r="C1" s="39"/>
      <c r="D1" s="39"/>
      <c r="E1" s="39"/>
      <c r="F1" s="39"/>
      <c r="G1" s="39"/>
      <c r="H1" s="39"/>
      <c r="I1" s="51"/>
      <c r="J1" s="51"/>
      <c r="K1" s="394" t="s">
        <v>132</v>
      </c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7"/>
    </row>
    <row r="2" spans="1:309" s="290" customFormat="1" ht="28.5" customHeight="1" x14ac:dyDescent="0.25">
      <c r="A2" s="194"/>
      <c r="B2" s="194" t="s">
        <v>443</v>
      </c>
      <c r="C2" s="194" t="s">
        <v>436</v>
      </c>
      <c r="D2" s="194" t="s">
        <v>433</v>
      </c>
      <c r="E2" s="194" t="s">
        <v>422</v>
      </c>
      <c r="F2" s="194" t="s">
        <v>400</v>
      </c>
      <c r="G2" s="194" t="s">
        <v>389</v>
      </c>
      <c r="H2" s="194" t="s">
        <v>225</v>
      </c>
      <c r="I2" s="194" t="s">
        <v>0</v>
      </c>
      <c r="J2" s="194" t="s">
        <v>1</v>
      </c>
      <c r="K2" s="194" t="s">
        <v>2</v>
      </c>
      <c r="L2" s="194" t="s">
        <v>3</v>
      </c>
      <c r="M2" s="194" t="s">
        <v>4</v>
      </c>
      <c r="N2" s="194" t="s">
        <v>5</v>
      </c>
      <c r="O2" s="194" t="s">
        <v>6</v>
      </c>
      <c r="P2" s="194" t="s">
        <v>7</v>
      </c>
      <c r="Q2" s="194" t="s">
        <v>8</v>
      </c>
      <c r="R2" s="194" t="s">
        <v>9</v>
      </c>
      <c r="S2" s="194" t="s">
        <v>10</v>
      </c>
      <c r="T2" s="194" t="s">
        <v>11</v>
      </c>
      <c r="U2" s="194" t="s">
        <v>12</v>
      </c>
      <c r="V2" s="194" t="s">
        <v>13</v>
      </c>
      <c r="W2" s="194" t="s">
        <v>14</v>
      </c>
      <c r="X2" s="194" t="s">
        <v>15</v>
      </c>
      <c r="Y2" s="194" t="s">
        <v>16</v>
      </c>
      <c r="Z2" s="194" t="s">
        <v>17</v>
      </c>
      <c r="AA2" s="194" t="s">
        <v>18</v>
      </c>
      <c r="AB2" s="194" t="s">
        <v>19</v>
      </c>
      <c r="AC2" s="194" t="s">
        <v>20</v>
      </c>
      <c r="AD2" s="194" t="s">
        <v>34</v>
      </c>
      <c r="AE2" s="194" t="s">
        <v>21</v>
      </c>
      <c r="AF2" s="194" t="s">
        <v>22</v>
      </c>
      <c r="AG2" s="194" t="s">
        <v>23</v>
      </c>
      <c r="AH2" s="194" t="s">
        <v>24</v>
      </c>
      <c r="AI2" s="194" t="s">
        <v>25</v>
      </c>
      <c r="AJ2" s="194" t="s">
        <v>26</v>
      </c>
      <c r="AK2" s="194" t="s">
        <v>27</v>
      </c>
      <c r="AL2" s="194" t="s">
        <v>28</v>
      </c>
      <c r="AM2" s="194" t="s">
        <v>29</v>
      </c>
      <c r="AN2" s="194" t="s">
        <v>30</v>
      </c>
      <c r="AO2" s="194" t="s">
        <v>31</v>
      </c>
      <c r="AP2" s="194"/>
      <c r="AQ2" s="7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  <c r="DG2" s="289"/>
      <c r="DH2" s="289"/>
      <c r="DI2" s="289"/>
      <c r="DJ2" s="289"/>
      <c r="DK2" s="289"/>
      <c r="DL2" s="289"/>
      <c r="DM2" s="289"/>
      <c r="DN2" s="289"/>
      <c r="DO2" s="289"/>
      <c r="DP2" s="289"/>
      <c r="DQ2" s="289"/>
      <c r="DR2" s="289"/>
      <c r="DS2" s="289"/>
      <c r="DT2" s="289"/>
      <c r="DU2" s="289"/>
      <c r="DV2" s="289"/>
      <c r="DW2" s="289"/>
      <c r="DX2" s="289"/>
      <c r="DY2" s="289"/>
      <c r="DZ2" s="289"/>
      <c r="EA2" s="289"/>
      <c r="EB2" s="289"/>
      <c r="EC2" s="289"/>
      <c r="ED2" s="289"/>
      <c r="EE2" s="289"/>
      <c r="EF2" s="289"/>
      <c r="EG2" s="289"/>
      <c r="EH2" s="289"/>
      <c r="EI2" s="289"/>
      <c r="EJ2" s="289"/>
      <c r="EK2" s="289"/>
      <c r="EL2" s="289"/>
      <c r="EM2" s="289"/>
      <c r="EN2" s="289"/>
      <c r="EO2" s="289"/>
      <c r="EP2" s="289"/>
      <c r="EQ2" s="289"/>
      <c r="ER2" s="289"/>
      <c r="ES2" s="289"/>
      <c r="ET2" s="289"/>
      <c r="EU2" s="289"/>
      <c r="EV2" s="289"/>
      <c r="EW2" s="289"/>
      <c r="EX2" s="289"/>
      <c r="EY2" s="289"/>
      <c r="EZ2" s="289"/>
      <c r="FA2" s="289"/>
      <c r="FB2" s="289"/>
      <c r="FC2" s="289"/>
      <c r="FD2" s="289"/>
      <c r="FE2" s="289"/>
      <c r="FF2" s="289"/>
      <c r="FG2" s="289"/>
      <c r="FH2" s="289"/>
      <c r="FI2" s="289"/>
      <c r="FJ2" s="289"/>
      <c r="FK2" s="289"/>
      <c r="FL2" s="289"/>
      <c r="FM2" s="289"/>
      <c r="FN2" s="289"/>
      <c r="FO2" s="289"/>
      <c r="FP2" s="289"/>
      <c r="FQ2" s="289"/>
      <c r="FR2" s="289"/>
      <c r="FS2" s="289"/>
      <c r="FT2" s="289"/>
      <c r="FU2" s="289"/>
      <c r="FV2" s="289"/>
      <c r="FW2" s="289"/>
      <c r="FX2" s="289"/>
      <c r="FY2" s="289"/>
      <c r="FZ2" s="289"/>
      <c r="GA2" s="289"/>
      <c r="GB2" s="289"/>
      <c r="GC2" s="289"/>
      <c r="GD2" s="289"/>
      <c r="GE2" s="289"/>
      <c r="GF2" s="289"/>
      <c r="GG2" s="289"/>
      <c r="GH2" s="289"/>
      <c r="GI2" s="289"/>
      <c r="GJ2" s="289"/>
      <c r="GK2" s="289"/>
      <c r="GL2" s="289"/>
      <c r="GM2" s="289"/>
      <c r="GN2" s="289"/>
      <c r="GO2" s="289"/>
      <c r="GP2" s="289"/>
      <c r="GQ2" s="289"/>
      <c r="GR2" s="289"/>
      <c r="GS2" s="289"/>
      <c r="GT2" s="289"/>
      <c r="GU2" s="289"/>
      <c r="GV2" s="289"/>
      <c r="GW2" s="289"/>
      <c r="GX2" s="289"/>
      <c r="GY2" s="289"/>
      <c r="GZ2" s="289"/>
      <c r="HA2" s="289"/>
      <c r="HB2" s="289"/>
      <c r="HC2" s="289"/>
      <c r="HD2" s="289"/>
      <c r="HE2" s="289"/>
      <c r="HF2" s="289"/>
      <c r="HG2" s="289"/>
      <c r="HH2" s="289"/>
      <c r="HI2" s="289"/>
      <c r="HJ2" s="289"/>
      <c r="HK2" s="289"/>
      <c r="HL2" s="289"/>
      <c r="HM2" s="289"/>
      <c r="HN2" s="289"/>
      <c r="HO2" s="289"/>
      <c r="HP2" s="289"/>
      <c r="HQ2" s="289"/>
      <c r="HR2" s="289"/>
      <c r="HS2" s="289"/>
      <c r="HT2" s="289"/>
      <c r="HU2" s="289"/>
      <c r="HV2" s="289"/>
      <c r="HW2" s="289"/>
      <c r="HX2" s="289"/>
      <c r="HY2" s="289"/>
      <c r="HZ2" s="289"/>
      <c r="IA2" s="289"/>
      <c r="IB2" s="289"/>
      <c r="IC2" s="289"/>
      <c r="ID2" s="289"/>
      <c r="IE2" s="289"/>
      <c r="IF2" s="289"/>
      <c r="IG2" s="289"/>
      <c r="IH2" s="289"/>
      <c r="II2" s="289"/>
      <c r="IJ2" s="289"/>
      <c r="IK2" s="289"/>
      <c r="IL2" s="289"/>
      <c r="IM2" s="289"/>
      <c r="IN2" s="289"/>
      <c r="IO2" s="289"/>
      <c r="IP2" s="289"/>
      <c r="IQ2" s="289"/>
      <c r="IR2" s="289"/>
      <c r="IS2" s="289"/>
      <c r="IT2" s="289"/>
      <c r="IU2" s="289"/>
      <c r="IV2" s="289"/>
      <c r="IW2" s="289"/>
      <c r="IX2" s="289"/>
      <c r="IY2" s="289"/>
      <c r="IZ2" s="289"/>
      <c r="JA2" s="289"/>
      <c r="JB2" s="289"/>
      <c r="JC2" s="289"/>
      <c r="JD2" s="289"/>
      <c r="JE2" s="289"/>
      <c r="JF2" s="289"/>
      <c r="JG2" s="289"/>
      <c r="JH2" s="289"/>
      <c r="JI2" s="289"/>
      <c r="JJ2" s="289"/>
      <c r="JK2" s="289"/>
      <c r="JL2" s="289"/>
      <c r="JM2" s="289"/>
      <c r="JN2" s="289"/>
      <c r="JO2" s="289"/>
      <c r="JP2" s="289"/>
      <c r="JQ2" s="289"/>
      <c r="JR2" s="289"/>
      <c r="JS2" s="289"/>
      <c r="JT2" s="289"/>
      <c r="JU2" s="289"/>
      <c r="JV2" s="289"/>
      <c r="JW2" s="289"/>
      <c r="JX2" s="289"/>
      <c r="JY2" s="289"/>
      <c r="JZ2" s="289"/>
      <c r="KA2" s="289"/>
      <c r="KB2" s="289"/>
      <c r="KC2" s="289"/>
      <c r="KD2" s="289"/>
      <c r="KE2" s="289"/>
      <c r="KF2" s="289"/>
      <c r="KG2" s="289"/>
      <c r="KH2" s="289"/>
      <c r="KI2" s="289"/>
      <c r="KJ2" s="289"/>
      <c r="KK2" s="289"/>
      <c r="KL2" s="289"/>
      <c r="KM2" s="289"/>
      <c r="KN2" s="289"/>
      <c r="KO2" s="289"/>
      <c r="KP2" s="289"/>
      <c r="KQ2" s="289"/>
      <c r="KR2" s="289"/>
      <c r="KS2" s="289"/>
      <c r="KT2" s="289"/>
      <c r="KU2" s="289"/>
      <c r="KV2" s="289"/>
      <c r="KW2" s="289"/>
    </row>
    <row r="3" spans="1:309" s="291" customFormat="1" ht="15.75" x14ac:dyDescent="0.25">
      <c r="A3" s="143" t="s">
        <v>346</v>
      </c>
      <c r="B3" s="143"/>
      <c r="C3" s="143"/>
      <c r="D3" s="143"/>
      <c r="E3" s="143"/>
      <c r="F3" s="159"/>
      <c r="G3" s="159"/>
      <c r="H3" s="159"/>
      <c r="I3" s="159"/>
      <c r="J3" s="159"/>
      <c r="K3" s="159"/>
      <c r="L3" s="159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7"/>
      <c r="AQ3" s="7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DK3" s="289"/>
      <c r="DL3" s="289"/>
      <c r="DM3" s="289"/>
      <c r="DN3" s="289"/>
      <c r="DO3" s="289"/>
      <c r="DP3" s="289"/>
      <c r="DQ3" s="289"/>
      <c r="DR3" s="289"/>
      <c r="DS3" s="289"/>
      <c r="DT3" s="289"/>
      <c r="DU3" s="289"/>
      <c r="DV3" s="289"/>
      <c r="DW3" s="289"/>
      <c r="DX3" s="289"/>
      <c r="DY3" s="289"/>
      <c r="DZ3" s="289"/>
      <c r="EA3" s="289"/>
      <c r="EB3" s="289"/>
      <c r="EC3" s="289"/>
      <c r="ED3" s="289"/>
      <c r="EE3" s="289"/>
      <c r="EF3" s="289"/>
      <c r="EG3" s="289"/>
      <c r="EH3" s="289"/>
      <c r="EI3" s="289"/>
      <c r="EJ3" s="289"/>
      <c r="EK3" s="289"/>
      <c r="EL3" s="289"/>
      <c r="EM3" s="289"/>
      <c r="EN3" s="289"/>
      <c r="EO3" s="289"/>
      <c r="EP3" s="289"/>
      <c r="EQ3" s="289"/>
      <c r="ER3" s="289"/>
      <c r="ES3" s="289"/>
      <c r="ET3" s="289"/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89"/>
      <c r="FK3" s="289"/>
      <c r="FL3" s="289"/>
      <c r="FM3" s="289"/>
      <c r="FN3" s="289"/>
      <c r="FO3" s="289"/>
      <c r="FP3" s="289"/>
      <c r="FQ3" s="289"/>
      <c r="FR3" s="289"/>
      <c r="FS3" s="289"/>
      <c r="FT3" s="289"/>
      <c r="FU3" s="289"/>
      <c r="FV3" s="289"/>
      <c r="FW3" s="289"/>
      <c r="FX3" s="289"/>
      <c r="FY3" s="289"/>
      <c r="FZ3" s="289"/>
      <c r="GA3" s="289"/>
      <c r="GB3" s="289"/>
      <c r="GC3" s="289"/>
      <c r="GD3" s="289"/>
      <c r="GE3" s="289"/>
      <c r="GF3" s="289"/>
      <c r="GG3" s="289"/>
      <c r="GH3" s="289"/>
      <c r="GI3" s="289"/>
      <c r="GJ3" s="289"/>
      <c r="GK3" s="289"/>
      <c r="GL3" s="289"/>
      <c r="GM3" s="289"/>
      <c r="GN3" s="289"/>
      <c r="GO3" s="289"/>
      <c r="GP3" s="289"/>
      <c r="GQ3" s="289"/>
      <c r="GR3" s="289"/>
      <c r="GS3" s="289"/>
      <c r="GT3" s="289"/>
      <c r="GU3" s="289"/>
      <c r="GV3" s="289"/>
      <c r="GW3" s="289"/>
      <c r="GX3" s="289"/>
      <c r="GY3" s="289"/>
      <c r="GZ3" s="289"/>
      <c r="HA3" s="289"/>
      <c r="HB3" s="289"/>
      <c r="HC3" s="289"/>
      <c r="HD3" s="289"/>
      <c r="HE3" s="289"/>
      <c r="HF3" s="289"/>
      <c r="HG3" s="289"/>
      <c r="HH3" s="289"/>
      <c r="HI3" s="289"/>
      <c r="HJ3" s="289"/>
      <c r="HK3" s="289"/>
      <c r="HL3" s="289"/>
      <c r="HM3" s="289"/>
      <c r="HN3" s="289"/>
      <c r="HO3" s="289"/>
      <c r="HP3" s="289"/>
      <c r="HQ3" s="289"/>
      <c r="HR3" s="289"/>
      <c r="HS3" s="289"/>
      <c r="HT3" s="289"/>
      <c r="HU3" s="289"/>
      <c r="HV3" s="289"/>
      <c r="HW3" s="289"/>
      <c r="HX3" s="289"/>
      <c r="HY3" s="289"/>
      <c r="HZ3" s="289"/>
      <c r="IA3" s="289"/>
      <c r="IB3" s="289"/>
      <c r="IC3" s="289"/>
      <c r="ID3" s="289"/>
      <c r="IE3" s="289"/>
      <c r="IF3" s="289"/>
      <c r="IG3" s="289"/>
      <c r="IH3" s="289"/>
      <c r="II3" s="289"/>
      <c r="IJ3" s="289"/>
      <c r="IK3" s="289"/>
      <c r="IL3" s="289"/>
      <c r="IM3" s="289"/>
      <c r="IN3" s="289"/>
      <c r="IO3" s="289"/>
      <c r="IP3" s="289"/>
      <c r="IQ3" s="289"/>
      <c r="IR3" s="289"/>
      <c r="IS3" s="289"/>
      <c r="IT3" s="289"/>
      <c r="IU3" s="289"/>
      <c r="IV3" s="289"/>
      <c r="IW3" s="289"/>
      <c r="IX3" s="289"/>
      <c r="IY3" s="289"/>
      <c r="IZ3" s="289"/>
      <c r="JA3" s="289"/>
      <c r="JB3" s="289"/>
      <c r="JC3" s="289"/>
      <c r="JD3" s="289"/>
      <c r="JE3" s="289"/>
      <c r="JF3" s="289"/>
      <c r="JG3" s="289"/>
      <c r="JH3" s="289"/>
      <c r="JI3" s="289"/>
      <c r="JJ3" s="289"/>
      <c r="JK3" s="289"/>
      <c r="JL3" s="289"/>
      <c r="JM3" s="289"/>
      <c r="JN3" s="289"/>
      <c r="JO3" s="289"/>
      <c r="JP3" s="289"/>
      <c r="JQ3" s="289"/>
      <c r="JR3" s="289"/>
      <c r="JS3" s="289"/>
      <c r="JT3" s="289"/>
      <c r="JU3" s="289"/>
      <c r="JV3" s="289"/>
      <c r="JW3" s="289"/>
      <c r="JX3" s="289"/>
      <c r="JY3" s="289"/>
      <c r="JZ3" s="289"/>
      <c r="KA3" s="289"/>
      <c r="KB3" s="289"/>
      <c r="KC3" s="289"/>
      <c r="KD3" s="289"/>
      <c r="KE3" s="289"/>
      <c r="KF3" s="289"/>
      <c r="KG3" s="289"/>
      <c r="KH3" s="289"/>
      <c r="KI3" s="289"/>
      <c r="KJ3" s="289"/>
      <c r="KK3" s="289"/>
      <c r="KL3" s="289"/>
      <c r="KM3" s="289"/>
      <c r="KN3" s="289"/>
      <c r="KO3" s="289"/>
      <c r="KP3" s="289"/>
      <c r="KQ3" s="289"/>
      <c r="KR3" s="289"/>
      <c r="KS3" s="289"/>
      <c r="KT3" s="289"/>
      <c r="KU3" s="289"/>
      <c r="KV3" s="289"/>
      <c r="KW3" s="289"/>
    </row>
    <row r="4" spans="1:309" ht="15" customHeight="1" x14ac:dyDescent="0.25">
      <c r="A4" s="170" t="s">
        <v>347</v>
      </c>
      <c r="B4" s="170"/>
      <c r="C4" s="170"/>
      <c r="D4" s="170"/>
      <c r="E4" s="170"/>
      <c r="F4" s="266"/>
      <c r="G4" s="266"/>
      <c r="H4" s="266"/>
      <c r="I4" s="266"/>
      <c r="J4" s="266"/>
      <c r="K4" s="266"/>
      <c r="L4" s="266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16"/>
    </row>
    <row r="5" spans="1:309" ht="15" customHeight="1" x14ac:dyDescent="0.25">
      <c r="A5" s="36"/>
      <c r="B5" s="36"/>
      <c r="C5" s="36"/>
      <c r="D5" s="36"/>
      <c r="E5" s="36"/>
      <c r="F5" s="268"/>
      <c r="G5" s="268"/>
      <c r="H5" s="268"/>
      <c r="I5" s="268"/>
      <c r="J5" s="268"/>
      <c r="K5" s="268"/>
      <c r="L5" s="268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9"/>
    </row>
    <row r="6" spans="1:309" ht="15" customHeight="1" x14ac:dyDescent="0.25">
      <c r="A6" s="35" t="s">
        <v>106</v>
      </c>
      <c r="B6" s="270">
        <v>904426.99810999993</v>
      </c>
      <c r="C6" s="270">
        <v>868359.42320000008</v>
      </c>
      <c r="D6" s="270">
        <v>840665.01376999996</v>
      </c>
      <c r="E6" s="270">
        <v>853562.62151999993</v>
      </c>
      <c r="F6" s="270">
        <v>890312.79259000008</v>
      </c>
      <c r="G6" s="270">
        <v>809942.23908999993</v>
      </c>
      <c r="H6" s="270">
        <v>751835.22330000007</v>
      </c>
      <c r="I6" s="270">
        <v>777021.10840999999</v>
      </c>
      <c r="J6" s="260">
        <v>758509.93521000003</v>
      </c>
      <c r="K6" s="260">
        <v>708673.00254999998</v>
      </c>
      <c r="L6" s="260">
        <v>729062.01459999999</v>
      </c>
      <c r="M6" s="260">
        <v>733588</v>
      </c>
      <c r="N6" s="260">
        <v>752450</v>
      </c>
      <c r="O6" s="260">
        <v>695847</v>
      </c>
      <c r="P6" s="260">
        <v>670980</v>
      </c>
      <c r="Q6" s="260">
        <v>676584</v>
      </c>
      <c r="R6" s="260">
        <v>693465</v>
      </c>
      <c r="S6" s="260">
        <v>663494</v>
      </c>
      <c r="T6" s="260">
        <v>621234</v>
      </c>
      <c r="U6" s="260">
        <v>593054</v>
      </c>
      <c r="V6" s="260">
        <v>610863</v>
      </c>
      <c r="W6" s="260">
        <v>579911</v>
      </c>
      <c r="X6" s="260">
        <v>509120</v>
      </c>
      <c r="Y6" s="260">
        <v>541503</v>
      </c>
      <c r="Z6" s="262" t="s">
        <v>32</v>
      </c>
      <c r="AA6" s="262" t="s">
        <v>32</v>
      </c>
      <c r="AB6" s="262" t="s">
        <v>32</v>
      </c>
      <c r="AC6" s="262" t="s">
        <v>32</v>
      </c>
      <c r="AD6" s="262" t="s">
        <v>32</v>
      </c>
      <c r="AE6" s="262" t="s">
        <v>32</v>
      </c>
      <c r="AF6" s="262" t="s">
        <v>32</v>
      </c>
      <c r="AG6" s="262" t="s">
        <v>32</v>
      </c>
      <c r="AH6" s="262" t="s">
        <v>32</v>
      </c>
      <c r="AI6" s="262" t="s">
        <v>32</v>
      </c>
      <c r="AJ6" s="262" t="s">
        <v>32</v>
      </c>
      <c r="AK6" s="262" t="s">
        <v>32</v>
      </c>
      <c r="AL6" s="262" t="s">
        <v>32</v>
      </c>
      <c r="AM6" s="262" t="s">
        <v>32</v>
      </c>
      <c r="AN6" s="262" t="s">
        <v>32</v>
      </c>
      <c r="AO6" s="262" t="s">
        <v>32</v>
      </c>
      <c r="AP6" s="7"/>
    </row>
    <row r="7" spans="1:309" ht="15" customHeight="1" x14ac:dyDescent="0.25">
      <c r="A7" s="18" t="s">
        <v>107</v>
      </c>
      <c r="B7" s="271">
        <v>530343.63473000005</v>
      </c>
      <c r="C7" s="271">
        <v>505307.35587999999</v>
      </c>
      <c r="D7" s="271">
        <v>495375.78190999996</v>
      </c>
      <c r="E7" s="271">
        <v>503250.07240999996</v>
      </c>
      <c r="F7" s="271">
        <v>522659.4817</v>
      </c>
      <c r="G7" s="271">
        <v>473248.82832000003</v>
      </c>
      <c r="H7" s="271">
        <v>441645.92938999995</v>
      </c>
      <c r="I7" s="271">
        <v>446415.13886000001</v>
      </c>
      <c r="J7" s="259">
        <v>436960.74195</v>
      </c>
      <c r="K7" s="259">
        <v>405008.35607000004</v>
      </c>
      <c r="L7" s="259">
        <v>415308.42459999997</v>
      </c>
      <c r="M7" s="259">
        <v>414019</v>
      </c>
      <c r="N7" s="259">
        <v>426536</v>
      </c>
      <c r="O7" s="259">
        <v>392265</v>
      </c>
      <c r="P7" s="259">
        <v>378806</v>
      </c>
      <c r="Q7" s="259">
        <v>375396</v>
      </c>
      <c r="R7" s="259">
        <v>385663</v>
      </c>
      <c r="S7" s="259">
        <v>369164</v>
      </c>
      <c r="T7" s="259">
        <v>345695</v>
      </c>
      <c r="U7" s="259">
        <v>325939</v>
      </c>
      <c r="V7" s="259">
        <v>332253</v>
      </c>
      <c r="W7" s="259">
        <v>315989</v>
      </c>
      <c r="X7" s="259">
        <v>279327</v>
      </c>
      <c r="Y7" s="259">
        <v>291163</v>
      </c>
      <c r="Z7" s="261" t="s">
        <v>32</v>
      </c>
      <c r="AA7" s="261" t="s">
        <v>32</v>
      </c>
      <c r="AB7" s="261" t="s">
        <v>32</v>
      </c>
      <c r="AC7" s="261" t="s">
        <v>32</v>
      </c>
      <c r="AD7" s="261" t="s">
        <v>32</v>
      </c>
      <c r="AE7" s="261" t="s">
        <v>32</v>
      </c>
      <c r="AF7" s="261" t="s">
        <v>32</v>
      </c>
      <c r="AG7" s="261" t="s">
        <v>32</v>
      </c>
      <c r="AH7" s="261" t="s">
        <v>32</v>
      </c>
      <c r="AI7" s="261" t="s">
        <v>32</v>
      </c>
      <c r="AJ7" s="261" t="s">
        <v>32</v>
      </c>
      <c r="AK7" s="261" t="s">
        <v>32</v>
      </c>
      <c r="AL7" s="261" t="s">
        <v>32</v>
      </c>
      <c r="AM7" s="261" t="s">
        <v>32</v>
      </c>
      <c r="AN7" s="261" t="s">
        <v>32</v>
      </c>
      <c r="AO7" s="261" t="s">
        <v>32</v>
      </c>
      <c r="AP7" s="9"/>
    </row>
    <row r="8" spans="1:309" ht="15" customHeight="1" x14ac:dyDescent="0.25">
      <c r="A8" s="35"/>
      <c r="B8" s="35"/>
      <c r="C8" s="35"/>
      <c r="D8" s="35"/>
      <c r="E8" s="35"/>
      <c r="F8" s="220"/>
      <c r="G8" s="220"/>
      <c r="H8" s="220"/>
      <c r="I8" s="27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7"/>
    </row>
    <row r="9" spans="1:309" s="292" customFormat="1" ht="15" customHeight="1" x14ac:dyDescent="0.25">
      <c r="A9" s="170" t="s">
        <v>108</v>
      </c>
      <c r="B9" s="272">
        <f>SUM(B6:B8)</f>
        <v>1434770.6328400001</v>
      </c>
      <c r="C9" s="272">
        <f>SUM(C6:C8)</f>
        <v>1373666.77908</v>
      </c>
      <c r="D9" s="272">
        <f>SUM(D6:D8)</f>
        <v>1336040.79568</v>
      </c>
      <c r="E9" s="272">
        <f>E6+E7</f>
        <v>1356812.6939299998</v>
      </c>
      <c r="F9" s="272">
        <f>F6+F7</f>
        <v>1412972.2742900001</v>
      </c>
      <c r="G9" s="272">
        <f>SUM(G6:G8)</f>
        <v>1283191.0674099999</v>
      </c>
      <c r="H9" s="272">
        <v>1193481.1526899999</v>
      </c>
      <c r="I9" s="272">
        <v>1223436.2472699999</v>
      </c>
      <c r="J9" s="115">
        <v>1195470.67716</v>
      </c>
      <c r="K9" s="116">
        <v>1113681.3586200001</v>
      </c>
      <c r="L9" s="116">
        <v>1144370.4391999999</v>
      </c>
      <c r="M9" s="116">
        <v>1147606</v>
      </c>
      <c r="N9" s="116">
        <v>1178985</v>
      </c>
      <c r="O9" s="116">
        <v>1088112</v>
      </c>
      <c r="P9" s="116">
        <v>1049786</v>
      </c>
      <c r="Q9" s="116">
        <v>1051980</v>
      </c>
      <c r="R9" s="116">
        <v>1079128</v>
      </c>
      <c r="S9" s="116">
        <v>1032658</v>
      </c>
      <c r="T9" s="116">
        <v>966929</v>
      </c>
      <c r="U9" s="116">
        <v>918993</v>
      </c>
      <c r="V9" s="116">
        <v>943116</v>
      </c>
      <c r="W9" s="116">
        <v>895900</v>
      </c>
      <c r="X9" s="116">
        <v>788447</v>
      </c>
      <c r="Y9" s="116">
        <v>832666</v>
      </c>
      <c r="Z9" s="160" t="s">
        <v>32</v>
      </c>
      <c r="AA9" s="160" t="s">
        <v>32</v>
      </c>
      <c r="AB9" s="160" t="s">
        <v>32</v>
      </c>
      <c r="AC9" s="160" t="s">
        <v>32</v>
      </c>
      <c r="AD9" s="160" t="s">
        <v>32</v>
      </c>
      <c r="AE9" s="160" t="s">
        <v>32</v>
      </c>
      <c r="AF9" s="160" t="s">
        <v>32</v>
      </c>
      <c r="AG9" s="160" t="s">
        <v>32</v>
      </c>
      <c r="AH9" s="160" t="s">
        <v>32</v>
      </c>
      <c r="AI9" s="160" t="s">
        <v>32</v>
      </c>
      <c r="AJ9" s="160" t="s">
        <v>32</v>
      </c>
      <c r="AK9" s="160" t="s">
        <v>32</v>
      </c>
      <c r="AL9" s="160" t="s">
        <v>32</v>
      </c>
      <c r="AM9" s="160" t="s">
        <v>32</v>
      </c>
      <c r="AN9" s="160" t="s">
        <v>32</v>
      </c>
      <c r="AO9" s="160" t="s">
        <v>32</v>
      </c>
      <c r="AP9" s="121"/>
      <c r="AQ9" s="7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289"/>
      <c r="EG9" s="289"/>
      <c r="EH9" s="289"/>
      <c r="EI9" s="289"/>
      <c r="EJ9" s="289"/>
      <c r="EK9" s="289"/>
      <c r="EL9" s="289"/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89"/>
      <c r="FB9" s="289"/>
      <c r="FC9" s="289"/>
      <c r="FD9" s="289"/>
      <c r="FE9" s="289"/>
      <c r="FF9" s="289"/>
      <c r="FG9" s="289"/>
      <c r="FH9" s="289"/>
      <c r="FI9" s="289"/>
      <c r="FJ9" s="289"/>
      <c r="FK9" s="289"/>
      <c r="FL9" s="289"/>
      <c r="FM9" s="289"/>
      <c r="FN9" s="289"/>
      <c r="FO9" s="289"/>
      <c r="FP9" s="289"/>
      <c r="FQ9" s="289"/>
      <c r="FR9" s="289"/>
      <c r="FS9" s="289"/>
      <c r="FT9" s="289"/>
      <c r="FU9" s="289"/>
      <c r="FV9" s="289"/>
      <c r="FW9" s="289"/>
      <c r="FX9" s="289"/>
      <c r="FY9" s="289"/>
      <c r="FZ9" s="289"/>
      <c r="GA9" s="289"/>
      <c r="GB9" s="289"/>
      <c r="GC9" s="289"/>
      <c r="GD9" s="289"/>
      <c r="GE9" s="289"/>
      <c r="GF9" s="289"/>
      <c r="GG9" s="289"/>
      <c r="GH9" s="289"/>
      <c r="GI9" s="289"/>
      <c r="GJ9" s="289"/>
      <c r="GK9" s="289"/>
      <c r="GL9" s="289"/>
      <c r="GM9" s="289"/>
      <c r="GN9" s="289"/>
      <c r="GO9" s="289"/>
      <c r="GP9" s="289"/>
      <c r="GQ9" s="289"/>
      <c r="GR9" s="289"/>
      <c r="GS9" s="289"/>
      <c r="GT9" s="289"/>
      <c r="GU9" s="289"/>
      <c r="GV9" s="289"/>
      <c r="GW9" s="289"/>
      <c r="GX9" s="289"/>
      <c r="GY9" s="289"/>
      <c r="GZ9" s="289"/>
      <c r="HA9" s="289"/>
      <c r="HB9" s="289"/>
      <c r="HC9" s="289"/>
      <c r="HD9" s="289"/>
      <c r="HE9" s="289"/>
      <c r="HF9" s="289"/>
      <c r="HG9" s="289"/>
      <c r="HH9" s="289"/>
      <c r="HI9" s="289"/>
      <c r="HJ9" s="289"/>
      <c r="HK9" s="289"/>
      <c r="HL9" s="289"/>
      <c r="HM9" s="289"/>
      <c r="HN9" s="289"/>
      <c r="HO9" s="289"/>
      <c r="HP9" s="289"/>
      <c r="HQ9" s="289"/>
      <c r="HR9" s="289"/>
      <c r="HS9" s="289"/>
      <c r="HT9" s="289"/>
      <c r="HU9" s="289"/>
      <c r="HV9" s="289"/>
      <c r="HW9" s="289"/>
      <c r="HX9" s="289"/>
      <c r="HY9" s="289"/>
      <c r="HZ9" s="289"/>
      <c r="IA9" s="289"/>
      <c r="IB9" s="289"/>
      <c r="IC9" s="289"/>
      <c r="ID9" s="289"/>
      <c r="IE9" s="289"/>
      <c r="IF9" s="289"/>
      <c r="IG9" s="289"/>
      <c r="IH9" s="289"/>
      <c r="II9" s="289"/>
      <c r="IJ9" s="289"/>
      <c r="IK9" s="289"/>
      <c r="IL9" s="289"/>
      <c r="IM9" s="289"/>
      <c r="IN9" s="289"/>
      <c r="IO9" s="289"/>
      <c r="IP9" s="289"/>
      <c r="IQ9" s="289"/>
      <c r="IR9" s="289"/>
      <c r="IS9" s="289"/>
      <c r="IT9" s="289"/>
      <c r="IU9" s="289"/>
      <c r="IV9" s="289"/>
      <c r="IW9" s="289"/>
      <c r="IX9" s="289"/>
      <c r="IY9" s="289"/>
      <c r="IZ9" s="289"/>
      <c r="JA9" s="289"/>
      <c r="JB9" s="289"/>
      <c r="JC9" s="289"/>
      <c r="JD9" s="289"/>
      <c r="JE9" s="289"/>
      <c r="JF9" s="289"/>
      <c r="JG9" s="289"/>
      <c r="JH9" s="289"/>
      <c r="JI9" s="289"/>
      <c r="JJ9" s="289"/>
      <c r="JK9" s="289"/>
      <c r="JL9" s="289"/>
      <c r="JM9" s="289"/>
      <c r="JN9" s="289"/>
      <c r="JO9" s="289"/>
      <c r="JP9" s="289"/>
      <c r="JQ9" s="289"/>
      <c r="JR9" s="289"/>
      <c r="JS9" s="289"/>
      <c r="JT9" s="289"/>
      <c r="JU9" s="289"/>
      <c r="JV9" s="289"/>
      <c r="JW9" s="289"/>
      <c r="JX9" s="289"/>
      <c r="JY9" s="289"/>
      <c r="JZ9" s="289"/>
      <c r="KA9" s="289"/>
      <c r="KB9" s="289"/>
      <c r="KC9" s="289"/>
      <c r="KD9" s="289"/>
      <c r="KE9" s="289"/>
      <c r="KF9" s="289"/>
      <c r="KG9" s="289"/>
      <c r="KH9" s="289"/>
      <c r="KI9" s="289"/>
      <c r="KJ9" s="289"/>
      <c r="KK9" s="289"/>
      <c r="KL9" s="289"/>
      <c r="KM9" s="289"/>
      <c r="KN9" s="289"/>
      <c r="KO9" s="289"/>
      <c r="KP9" s="289"/>
      <c r="KQ9" s="289"/>
      <c r="KR9" s="289"/>
      <c r="KS9" s="289"/>
      <c r="KT9" s="289"/>
      <c r="KU9" s="289"/>
      <c r="KV9" s="289"/>
      <c r="KW9" s="289"/>
    </row>
    <row r="10" spans="1:309" s="293" customFormat="1" ht="15" customHeight="1" x14ac:dyDescent="0.25">
      <c r="A10" s="38"/>
      <c r="B10" s="38"/>
      <c r="C10" s="38"/>
      <c r="D10" s="38"/>
      <c r="E10" s="38"/>
      <c r="F10" s="273"/>
      <c r="G10" s="273"/>
      <c r="H10" s="273"/>
      <c r="I10" s="274"/>
      <c r="J10" s="275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5"/>
      <c r="AQ10" s="7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89"/>
      <c r="FL10" s="289"/>
      <c r="FM10" s="289"/>
      <c r="FN10" s="289"/>
      <c r="FO10" s="289"/>
      <c r="FP10" s="289"/>
      <c r="FQ10" s="289"/>
      <c r="FR10" s="289"/>
      <c r="FS10" s="289"/>
      <c r="FT10" s="289"/>
      <c r="FU10" s="289"/>
      <c r="FV10" s="289"/>
      <c r="FW10" s="289"/>
      <c r="FX10" s="289"/>
      <c r="FY10" s="289"/>
      <c r="FZ10" s="289"/>
      <c r="GA10" s="289"/>
      <c r="GB10" s="289"/>
      <c r="GC10" s="289"/>
      <c r="GD10" s="289"/>
      <c r="GE10" s="289"/>
      <c r="GF10" s="289"/>
      <c r="GG10" s="289"/>
      <c r="GH10" s="289"/>
      <c r="GI10" s="289"/>
      <c r="GJ10" s="289"/>
      <c r="GK10" s="289"/>
      <c r="GL10" s="289"/>
      <c r="GM10" s="289"/>
      <c r="GN10" s="289"/>
      <c r="GO10" s="289"/>
      <c r="GP10" s="289"/>
      <c r="GQ10" s="289"/>
      <c r="GR10" s="289"/>
      <c r="GS10" s="289"/>
      <c r="GT10" s="289"/>
      <c r="GU10" s="289"/>
      <c r="GV10" s="289"/>
      <c r="GW10" s="289"/>
      <c r="GX10" s="289"/>
      <c r="GY10" s="289"/>
      <c r="GZ10" s="289"/>
      <c r="HA10" s="289"/>
      <c r="HB10" s="289"/>
      <c r="HC10" s="289"/>
      <c r="HD10" s="289"/>
      <c r="HE10" s="289"/>
      <c r="HF10" s="289"/>
      <c r="HG10" s="289"/>
      <c r="HH10" s="289"/>
      <c r="HI10" s="289"/>
      <c r="HJ10" s="289"/>
      <c r="HK10" s="289"/>
      <c r="HL10" s="289"/>
      <c r="HM10" s="289"/>
      <c r="HN10" s="289"/>
      <c r="HO10" s="289"/>
      <c r="HP10" s="289"/>
      <c r="HQ10" s="289"/>
      <c r="HR10" s="289"/>
      <c r="HS10" s="289"/>
      <c r="HT10" s="289"/>
      <c r="HU10" s="289"/>
      <c r="HV10" s="289"/>
      <c r="HW10" s="289"/>
      <c r="HX10" s="289"/>
      <c r="HY10" s="289"/>
      <c r="HZ10" s="289"/>
      <c r="IA10" s="289"/>
      <c r="IB10" s="289"/>
      <c r="IC10" s="289"/>
      <c r="ID10" s="289"/>
      <c r="IE10" s="289"/>
      <c r="IF10" s="289"/>
      <c r="IG10" s="289"/>
      <c r="IH10" s="289"/>
      <c r="II10" s="289"/>
      <c r="IJ10" s="289"/>
      <c r="IK10" s="289"/>
      <c r="IL10" s="289"/>
      <c r="IM10" s="289"/>
      <c r="IN10" s="289"/>
      <c r="IO10" s="289"/>
      <c r="IP10" s="289"/>
      <c r="IQ10" s="289"/>
      <c r="IR10" s="289"/>
      <c r="IS10" s="289"/>
      <c r="IT10" s="289"/>
      <c r="IU10" s="289"/>
      <c r="IV10" s="289"/>
      <c r="IW10" s="289"/>
      <c r="IX10" s="289"/>
      <c r="IY10" s="289"/>
      <c r="IZ10" s="289"/>
      <c r="JA10" s="289"/>
      <c r="JB10" s="289"/>
      <c r="JC10" s="289"/>
      <c r="JD10" s="289"/>
      <c r="JE10" s="289"/>
      <c r="JF10" s="289"/>
      <c r="JG10" s="289"/>
      <c r="JH10" s="289"/>
      <c r="JI10" s="289"/>
      <c r="JJ10" s="289"/>
      <c r="JK10" s="289"/>
      <c r="JL10" s="289"/>
      <c r="JM10" s="289"/>
      <c r="JN10" s="289"/>
      <c r="JO10" s="289"/>
      <c r="JP10" s="289"/>
      <c r="JQ10" s="289"/>
      <c r="JR10" s="289"/>
      <c r="JS10" s="289"/>
      <c r="JT10" s="289"/>
      <c r="JU10" s="289"/>
      <c r="JV10" s="289"/>
      <c r="JW10" s="289"/>
      <c r="JX10" s="289"/>
      <c r="JY10" s="289"/>
      <c r="JZ10" s="289"/>
      <c r="KA10" s="289"/>
      <c r="KB10" s="289"/>
      <c r="KC10" s="289"/>
      <c r="KD10" s="289"/>
      <c r="KE10" s="289"/>
      <c r="KF10" s="289"/>
      <c r="KG10" s="289"/>
      <c r="KH10" s="289"/>
      <c r="KI10" s="289"/>
      <c r="KJ10" s="289"/>
      <c r="KK10" s="289"/>
      <c r="KL10" s="289"/>
      <c r="KM10" s="289"/>
      <c r="KN10" s="289"/>
      <c r="KO10" s="289"/>
      <c r="KP10" s="289"/>
      <c r="KQ10" s="289"/>
      <c r="KR10" s="289"/>
      <c r="KS10" s="289"/>
      <c r="KT10" s="289"/>
      <c r="KU10" s="289"/>
      <c r="KV10" s="289"/>
      <c r="KW10" s="289"/>
    </row>
    <row r="11" spans="1:309" s="293" customFormat="1" ht="15" customHeight="1" x14ac:dyDescent="0.25">
      <c r="A11" s="170" t="s">
        <v>390</v>
      </c>
      <c r="B11" s="170"/>
      <c r="C11" s="170"/>
      <c r="D11" s="170"/>
      <c r="E11" s="170"/>
      <c r="F11" s="266"/>
      <c r="G11" s="266"/>
      <c r="H11" s="266"/>
      <c r="I11" s="266"/>
      <c r="J11" s="266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4"/>
      <c r="AQ11" s="7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  <c r="FL11" s="289"/>
      <c r="FM11" s="289"/>
      <c r="FN11" s="289"/>
      <c r="FO11" s="289"/>
      <c r="FP11" s="289"/>
      <c r="FQ11" s="289"/>
      <c r="FR11" s="289"/>
      <c r="FS11" s="289"/>
      <c r="FT11" s="289"/>
      <c r="FU11" s="289"/>
      <c r="FV11" s="289"/>
      <c r="FW11" s="289"/>
      <c r="FX11" s="289"/>
      <c r="FY11" s="289"/>
      <c r="FZ11" s="289"/>
      <c r="GA11" s="289"/>
      <c r="GB11" s="289"/>
      <c r="GC11" s="289"/>
      <c r="GD11" s="289"/>
      <c r="GE11" s="289"/>
      <c r="GF11" s="289"/>
      <c r="GG11" s="289"/>
      <c r="GH11" s="289"/>
      <c r="GI11" s="289"/>
      <c r="GJ11" s="289"/>
      <c r="GK11" s="289"/>
      <c r="GL11" s="289"/>
      <c r="GM11" s="289"/>
      <c r="GN11" s="289"/>
      <c r="GO11" s="289"/>
      <c r="GP11" s="289"/>
      <c r="GQ11" s="289"/>
      <c r="GR11" s="289"/>
      <c r="GS11" s="289"/>
      <c r="GT11" s="289"/>
      <c r="GU11" s="289"/>
      <c r="GV11" s="289"/>
      <c r="GW11" s="289"/>
      <c r="GX11" s="289"/>
      <c r="GY11" s="289"/>
      <c r="GZ11" s="289"/>
      <c r="HA11" s="289"/>
      <c r="HB11" s="289"/>
      <c r="HC11" s="289"/>
      <c r="HD11" s="289"/>
      <c r="HE11" s="289"/>
      <c r="HF11" s="289"/>
      <c r="HG11" s="289"/>
      <c r="HH11" s="289"/>
      <c r="HI11" s="289"/>
      <c r="HJ11" s="289"/>
      <c r="HK11" s="289"/>
      <c r="HL11" s="289"/>
      <c r="HM11" s="289"/>
      <c r="HN11" s="289"/>
      <c r="HO11" s="289"/>
      <c r="HP11" s="289"/>
      <c r="HQ11" s="289"/>
      <c r="HR11" s="289"/>
      <c r="HS11" s="289"/>
      <c r="HT11" s="289"/>
      <c r="HU11" s="289"/>
      <c r="HV11" s="289"/>
      <c r="HW11" s="289"/>
      <c r="HX11" s="289"/>
      <c r="HY11" s="289"/>
      <c r="HZ11" s="289"/>
      <c r="IA11" s="289"/>
      <c r="IB11" s="289"/>
      <c r="IC11" s="289"/>
      <c r="ID11" s="289"/>
      <c r="IE11" s="289"/>
      <c r="IF11" s="289"/>
      <c r="IG11" s="289"/>
      <c r="IH11" s="289"/>
      <c r="II11" s="289"/>
      <c r="IJ11" s="289"/>
      <c r="IK11" s="289"/>
      <c r="IL11" s="289"/>
      <c r="IM11" s="289"/>
      <c r="IN11" s="289"/>
      <c r="IO11" s="289"/>
      <c r="IP11" s="289"/>
      <c r="IQ11" s="289"/>
      <c r="IR11" s="289"/>
      <c r="IS11" s="289"/>
      <c r="IT11" s="289"/>
      <c r="IU11" s="289"/>
      <c r="IV11" s="289"/>
      <c r="IW11" s="289"/>
      <c r="IX11" s="289"/>
      <c r="IY11" s="289"/>
      <c r="IZ11" s="289"/>
      <c r="JA11" s="289"/>
      <c r="JB11" s="289"/>
      <c r="JC11" s="289"/>
      <c r="JD11" s="289"/>
      <c r="JE11" s="289"/>
      <c r="JF11" s="289"/>
      <c r="JG11" s="289"/>
      <c r="JH11" s="289"/>
      <c r="JI11" s="289"/>
      <c r="JJ11" s="289"/>
      <c r="JK11" s="289"/>
      <c r="JL11" s="289"/>
      <c r="JM11" s="289"/>
      <c r="JN11" s="289"/>
      <c r="JO11" s="289"/>
      <c r="JP11" s="289"/>
      <c r="JQ11" s="289"/>
      <c r="JR11" s="289"/>
      <c r="JS11" s="289"/>
      <c r="JT11" s="289"/>
      <c r="JU11" s="289"/>
      <c r="JV11" s="289"/>
      <c r="JW11" s="289"/>
      <c r="JX11" s="289"/>
      <c r="JY11" s="289"/>
      <c r="JZ11" s="289"/>
      <c r="KA11" s="289"/>
      <c r="KB11" s="289"/>
      <c r="KC11" s="289"/>
      <c r="KD11" s="289"/>
      <c r="KE11" s="289"/>
      <c r="KF11" s="289"/>
      <c r="KG11" s="289"/>
      <c r="KH11" s="289"/>
      <c r="KI11" s="289"/>
      <c r="KJ11" s="289"/>
      <c r="KK11" s="289"/>
      <c r="KL11" s="289"/>
      <c r="KM11" s="289"/>
      <c r="KN11" s="289"/>
      <c r="KO11" s="289"/>
      <c r="KP11" s="289"/>
      <c r="KQ11" s="289"/>
      <c r="KR11" s="289"/>
      <c r="KS11" s="289"/>
      <c r="KT11" s="289"/>
      <c r="KU11" s="289"/>
      <c r="KV11" s="289"/>
      <c r="KW11" s="289"/>
    </row>
    <row r="12" spans="1:309" s="293" customFormat="1" ht="15" customHeight="1" x14ac:dyDescent="0.25">
      <c r="A12" s="34"/>
      <c r="B12" s="34"/>
      <c r="C12" s="34"/>
      <c r="D12" s="34"/>
      <c r="E12" s="34"/>
      <c r="F12" s="273"/>
      <c r="G12" s="273"/>
      <c r="H12" s="273"/>
      <c r="I12" s="273"/>
      <c r="J12" s="273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5"/>
      <c r="AQ12" s="7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89"/>
      <c r="HO12" s="289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  <c r="IA12" s="289"/>
      <c r="IB12" s="289"/>
      <c r="IC12" s="289"/>
      <c r="ID12" s="289"/>
      <c r="IE12" s="289"/>
      <c r="IF12" s="289"/>
      <c r="IG12" s="289"/>
      <c r="IH12" s="289"/>
      <c r="II12" s="289"/>
      <c r="IJ12" s="289"/>
      <c r="IK12" s="289"/>
      <c r="IL12" s="289"/>
      <c r="IM12" s="289"/>
      <c r="IN12" s="289"/>
      <c r="IO12" s="289"/>
      <c r="IP12" s="289"/>
      <c r="IQ12" s="289"/>
      <c r="IR12" s="289"/>
      <c r="IS12" s="289"/>
      <c r="IT12" s="289"/>
      <c r="IU12" s="289"/>
      <c r="IV12" s="289"/>
      <c r="IW12" s="289"/>
      <c r="IX12" s="289"/>
      <c r="IY12" s="289"/>
      <c r="IZ12" s="289"/>
      <c r="JA12" s="289"/>
      <c r="JB12" s="289"/>
      <c r="JC12" s="289"/>
      <c r="JD12" s="289"/>
      <c r="JE12" s="289"/>
      <c r="JF12" s="289"/>
      <c r="JG12" s="289"/>
      <c r="JH12" s="289"/>
      <c r="JI12" s="289"/>
      <c r="JJ12" s="289"/>
      <c r="JK12" s="289"/>
      <c r="JL12" s="289"/>
      <c r="JM12" s="289"/>
      <c r="JN12" s="289"/>
      <c r="JO12" s="289"/>
      <c r="JP12" s="289"/>
      <c r="JQ12" s="289"/>
      <c r="JR12" s="289"/>
      <c r="JS12" s="289"/>
      <c r="JT12" s="289"/>
      <c r="JU12" s="289"/>
      <c r="JV12" s="289"/>
      <c r="JW12" s="289"/>
      <c r="JX12" s="289"/>
      <c r="JY12" s="289"/>
      <c r="JZ12" s="289"/>
      <c r="KA12" s="289"/>
      <c r="KB12" s="289"/>
      <c r="KC12" s="289"/>
      <c r="KD12" s="289"/>
      <c r="KE12" s="289"/>
      <c r="KF12" s="289"/>
      <c r="KG12" s="289"/>
      <c r="KH12" s="289"/>
      <c r="KI12" s="289"/>
      <c r="KJ12" s="289"/>
      <c r="KK12" s="289"/>
      <c r="KL12" s="289"/>
      <c r="KM12" s="289"/>
      <c r="KN12" s="289"/>
      <c r="KO12" s="289"/>
      <c r="KP12" s="289"/>
      <c r="KQ12" s="289"/>
      <c r="KR12" s="289"/>
      <c r="KS12" s="289"/>
      <c r="KT12" s="289"/>
      <c r="KU12" s="289"/>
      <c r="KV12" s="289"/>
      <c r="KW12" s="289"/>
    </row>
    <row r="13" spans="1:309" ht="15" customHeight="1" x14ac:dyDescent="0.25">
      <c r="A13" s="18" t="s">
        <v>109</v>
      </c>
      <c r="B13" s="227">
        <f>(('[2]BANCO DE DADOS'!$B$411+'[2]BANCO DE DADOS'!$B$412)/'[2]BANCO DE DADOS'!$B$416)*100</f>
        <v>78.048971786017617</v>
      </c>
      <c r="C13" s="227">
        <v>78.530740331810563</v>
      </c>
      <c r="D13" s="227">
        <v>78.46394017539869</v>
      </c>
      <c r="E13" s="227">
        <v>75.477765004668598</v>
      </c>
      <c r="F13" s="227">
        <v>74.355923273750307</v>
      </c>
      <c r="G13" s="227">
        <v>73.767545074730862</v>
      </c>
      <c r="H13" s="227">
        <v>73.297569107121646</v>
      </c>
      <c r="I13" s="370">
        <v>74.982589474592686</v>
      </c>
      <c r="J13" s="227">
        <v>73.465137052650903</v>
      </c>
      <c r="K13" s="278">
        <v>73.109563932265814</v>
      </c>
      <c r="L13" s="278">
        <v>73.391231806044999</v>
      </c>
      <c r="M13" s="278">
        <v>74.7</v>
      </c>
      <c r="N13" s="278">
        <v>73.7</v>
      </c>
      <c r="O13" s="278">
        <v>73.5</v>
      </c>
      <c r="P13" s="278">
        <v>73.900000000000006</v>
      </c>
      <c r="Q13" s="278">
        <v>75.3</v>
      </c>
      <c r="R13" s="278">
        <v>74.2</v>
      </c>
      <c r="S13" s="278">
        <v>73.400000000000006</v>
      </c>
      <c r="T13" s="278">
        <v>72.900000000000006</v>
      </c>
      <c r="U13" s="278">
        <v>73.8</v>
      </c>
      <c r="V13" s="278">
        <v>72.5</v>
      </c>
      <c r="W13" s="278">
        <v>71.599999999999994</v>
      </c>
      <c r="X13" s="278">
        <v>70.900000000000006</v>
      </c>
      <c r="Y13" s="278">
        <v>72.400000000000006</v>
      </c>
      <c r="Z13" s="278">
        <v>70.5</v>
      </c>
      <c r="AA13" s="278">
        <v>70.400000000000006</v>
      </c>
      <c r="AB13" s="278">
        <v>70.2</v>
      </c>
      <c r="AC13" s="278">
        <v>71.8</v>
      </c>
      <c r="AD13" s="278">
        <v>70.400000000000006</v>
      </c>
      <c r="AE13" s="278">
        <v>69.8</v>
      </c>
      <c r="AF13" s="278">
        <v>69.3</v>
      </c>
      <c r="AG13" s="278">
        <v>71</v>
      </c>
      <c r="AH13" s="278">
        <v>69.599999999999994</v>
      </c>
      <c r="AI13" s="278">
        <v>68.7</v>
      </c>
      <c r="AJ13" s="278">
        <v>68.8</v>
      </c>
      <c r="AK13" s="278">
        <v>70.400000000000006</v>
      </c>
      <c r="AL13" s="278">
        <v>69.2</v>
      </c>
      <c r="AM13" s="278">
        <v>69.099999999999994</v>
      </c>
      <c r="AN13" s="278">
        <v>68.7</v>
      </c>
      <c r="AO13" s="278">
        <v>70.2</v>
      </c>
      <c r="AP13" s="9"/>
    </row>
    <row r="14" spans="1:309" ht="15" customHeight="1" x14ac:dyDescent="0.25">
      <c r="A14" s="35" t="s">
        <v>110</v>
      </c>
      <c r="B14" s="226">
        <f>('[2]BANCO DE DADOS'!$B$413/'[2]BANCO DE DADOS'!$B$416)*100</f>
        <v>11.891547758387388</v>
      </c>
      <c r="C14" s="226">
        <v>11.239861956046312</v>
      </c>
      <c r="D14" s="226">
        <v>11.172264833385372</v>
      </c>
      <c r="E14" s="226">
        <v>13.047202478143099</v>
      </c>
      <c r="F14" s="226">
        <v>13.120414266344419</v>
      </c>
      <c r="G14" s="226">
        <v>13.253128650334803</v>
      </c>
      <c r="H14" s="226">
        <v>13.353364364779157</v>
      </c>
      <c r="I14" s="371">
        <v>13.028479050865535</v>
      </c>
      <c r="J14" s="226">
        <v>13.276360596663725</v>
      </c>
      <c r="K14" s="280">
        <v>13.292841732510274</v>
      </c>
      <c r="L14" s="280">
        <v>13.032287145433278</v>
      </c>
      <c r="M14" s="280">
        <v>12.8</v>
      </c>
      <c r="N14" s="280">
        <v>12.9</v>
      </c>
      <c r="O14" s="280">
        <v>13</v>
      </c>
      <c r="P14" s="280">
        <v>12.8</v>
      </c>
      <c r="Q14" s="280">
        <v>12.5</v>
      </c>
      <c r="R14" s="280">
        <v>12.7</v>
      </c>
      <c r="S14" s="280">
        <v>12.9</v>
      </c>
      <c r="T14" s="280">
        <v>13.4</v>
      </c>
      <c r="U14" s="280">
        <v>13.4</v>
      </c>
      <c r="V14" s="280">
        <v>13.6</v>
      </c>
      <c r="W14" s="280">
        <v>14</v>
      </c>
      <c r="X14" s="280">
        <v>14.2</v>
      </c>
      <c r="Y14" s="280">
        <v>13.6</v>
      </c>
      <c r="Z14" s="280">
        <v>13.8</v>
      </c>
      <c r="AA14" s="280">
        <v>13.9</v>
      </c>
      <c r="AB14" s="280">
        <v>13.8</v>
      </c>
      <c r="AC14" s="280">
        <v>13.6</v>
      </c>
      <c r="AD14" s="280">
        <v>14</v>
      </c>
      <c r="AE14" s="280">
        <v>14.2</v>
      </c>
      <c r="AF14" s="280">
        <v>14.3</v>
      </c>
      <c r="AG14" s="280">
        <v>13.9</v>
      </c>
      <c r="AH14" s="280">
        <v>14.1</v>
      </c>
      <c r="AI14" s="280">
        <v>14.5</v>
      </c>
      <c r="AJ14" s="280">
        <v>15.8</v>
      </c>
      <c r="AK14" s="280">
        <v>14.3</v>
      </c>
      <c r="AL14" s="280">
        <v>14.3</v>
      </c>
      <c r="AM14" s="280">
        <v>14.1</v>
      </c>
      <c r="AN14" s="280">
        <v>14.3</v>
      </c>
      <c r="AO14" s="280">
        <v>14.1</v>
      </c>
    </row>
    <row r="15" spans="1:309" ht="15" customHeight="1" x14ac:dyDescent="0.25">
      <c r="A15" s="18" t="s">
        <v>111</v>
      </c>
      <c r="B15" s="227">
        <f>('[2]BANCO DE DADOS'!$B$414/'[2]BANCO DE DADOS'!$B$416)*100</f>
        <v>3.8588004839452315</v>
      </c>
      <c r="C15" s="227">
        <v>3.7872579615486575</v>
      </c>
      <c r="D15" s="227">
        <v>3.5679973804888703</v>
      </c>
      <c r="E15" s="227">
        <v>3.8302373191658301</v>
      </c>
      <c r="F15" s="227">
        <v>3.8801591194617737</v>
      </c>
      <c r="G15" s="227">
        <v>3.9728936345082246</v>
      </c>
      <c r="H15" s="227">
        <v>4.0146436991228951</v>
      </c>
      <c r="I15" s="370">
        <v>3.8980870560877796</v>
      </c>
      <c r="J15" s="227">
        <v>4.0878791470826883</v>
      </c>
      <c r="K15" s="278">
        <v>4.1681010682943231</v>
      </c>
      <c r="L15" s="278">
        <v>4.1287934516388889</v>
      </c>
      <c r="M15" s="278">
        <v>4.0999999999999996</v>
      </c>
      <c r="N15" s="278">
        <v>4.2</v>
      </c>
      <c r="O15" s="278">
        <v>4.0999999999999996</v>
      </c>
      <c r="P15" s="278">
        <v>4</v>
      </c>
      <c r="Q15" s="278">
        <v>3.9</v>
      </c>
      <c r="R15" s="278">
        <v>4.0999999999999996</v>
      </c>
      <c r="S15" s="278">
        <v>4.3</v>
      </c>
      <c r="T15" s="278">
        <v>4.2</v>
      </c>
      <c r="U15" s="278">
        <v>4.3</v>
      </c>
      <c r="V15" s="278">
        <v>4.5999999999999996</v>
      </c>
      <c r="W15" s="278">
        <v>4.9000000000000004</v>
      </c>
      <c r="X15" s="278">
        <v>5.2</v>
      </c>
      <c r="Y15" s="278">
        <v>5.4</v>
      </c>
      <c r="Z15" s="278">
        <v>5.8</v>
      </c>
      <c r="AA15" s="278">
        <v>5.9</v>
      </c>
      <c r="AB15" s="278">
        <v>6.1</v>
      </c>
      <c r="AC15" s="278">
        <v>5.9</v>
      </c>
      <c r="AD15" s="278">
        <v>6</v>
      </c>
      <c r="AE15" s="278">
        <v>6.2</v>
      </c>
      <c r="AF15" s="278">
        <v>6.3</v>
      </c>
      <c r="AG15" s="278">
        <v>6</v>
      </c>
      <c r="AH15" s="278">
        <v>6.2</v>
      </c>
      <c r="AI15" s="278">
        <v>6.3</v>
      </c>
      <c r="AJ15" s="278">
        <v>6.3</v>
      </c>
      <c r="AK15" s="278">
        <v>6.2</v>
      </c>
      <c r="AL15" s="278">
        <v>6.3</v>
      </c>
      <c r="AM15" s="278">
        <v>6.4</v>
      </c>
      <c r="AN15" s="278">
        <v>6.6</v>
      </c>
      <c r="AO15" s="278">
        <v>6.4</v>
      </c>
      <c r="AP15" s="9"/>
    </row>
    <row r="16" spans="1:309" ht="15" customHeight="1" x14ac:dyDescent="0.25">
      <c r="A16" s="35" t="s">
        <v>112</v>
      </c>
      <c r="B16" s="226">
        <f>('[2]BANCO DE DADOS'!$B$415/'[2]BANCO DE DADOS'!$B$416)*100</f>
        <v>6.2006799716497705</v>
      </c>
      <c r="C16" s="226">
        <v>6.4421397505944622</v>
      </c>
      <c r="D16" s="226">
        <v>6.795797610727063</v>
      </c>
      <c r="E16" s="226">
        <v>7.6447951980224698</v>
      </c>
      <c r="F16" s="226">
        <v>8.6435033404434982</v>
      </c>
      <c r="G16" s="226">
        <v>9.0064326404261283</v>
      </c>
      <c r="H16" s="226">
        <v>9.3344228289762796</v>
      </c>
      <c r="I16" s="371">
        <v>8.0908444184540151</v>
      </c>
      <c r="J16" s="226">
        <v>9.1706232036026911</v>
      </c>
      <c r="K16" s="280">
        <v>9.4294932669295903</v>
      </c>
      <c r="L16" s="280">
        <v>9.4476875968828651</v>
      </c>
      <c r="M16" s="280">
        <v>8.4</v>
      </c>
      <c r="N16" s="280">
        <v>9.3000000000000007</v>
      </c>
      <c r="O16" s="280">
        <v>9.4</v>
      </c>
      <c r="P16" s="280">
        <v>9.1999999999999993</v>
      </c>
      <c r="Q16" s="280">
        <v>8.3000000000000007</v>
      </c>
      <c r="R16" s="280">
        <v>9</v>
      </c>
      <c r="S16" s="280">
        <v>9.4</v>
      </c>
      <c r="T16" s="280">
        <v>9.5</v>
      </c>
      <c r="U16" s="280">
        <v>8.5</v>
      </c>
      <c r="V16" s="280">
        <v>9.3000000000000007</v>
      </c>
      <c r="W16" s="280">
        <v>9.6</v>
      </c>
      <c r="X16" s="280">
        <v>9.6999999999999993</v>
      </c>
      <c r="Y16" s="280">
        <v>8.6999999999999993</v>
      </c>
      <c r="Z16" s="280">
        <v>9.8000000000000007</v>
      </c>
      <c r="AA16" s="280">
        <v>9.8000000000000007</v>
      </c>
      <c r="AB16" s="280">
        <v>9.9</v>
      </c>
      <c r="AC16" s="280">
        <v>8.6999999999999993</v>
      </c>
      <c r="AD16" s="280">
        <v>9.6</v>
      </c>
      <c r="AE16" s="280">
        <v>9.9</v>
      </c>
      <c r="AF16" s="280">
        <v>10.199999999999999</v>
      </c>
      <c r="AG16" s="280">
        <v>9.1</v>
      </c>
      <c r="AH16" s="280">
        <v>10.1</v>
      </c>
      <c r="AI16" s="280">
        <v>10.4</v>
      </c>
      <c r="AJ16" s="280">
        <v>10.3</v>
      </c>
      <c r="AK16" s="280">
        <v>9.1</v>
      </c>
      <c r="AL16" s="280">
        <v>10.1</v>
      </c>
      <c r="AM16" s="280">
        <v>10.4</v>
      </c>
      <c r="AN16" s="280">
        <v>10.4</v>
      </c>
      <c r="AO16" s="280">
        <v>9.1999999999999993</v>
      </c>
    </row>
    <row r="17" spans="1:309" ht="15" customHeight="1" x14ac:dyDescent="0.25">
      <c r="A17" s="18" t="s">
        <v>113</v>
      </c>
      <c r="B17" s="227">
        <f>SUM(B13:B16)</f>
        <v>100.00000000000001</v>
      </c>
      <c r="C17" s="227">
        <v>100</v>
      </c>
      <c r="D17" s="227">
        <f>SUM(D13:D16)</f>
        <v>100</v>
      </c>
      <c r="E17" s="227">
        <f>SUM(E13:E16)</f>
        <v>99.999999999999986</v>
      </c>
      <c r="F17" s="227">
        <v>100.00000000000001</v>
      </c>
      <c r="G17" s="227">
        <f>SUM(G13:G16)</f>
        <v>100.00000000000001</v>
      </c>
      <c r="H17" s="227">
        <v>99.999999999999972</v>
      </c>
      <c r="I17" s="227">
        <v>100.00000000000001</v>
      </c>
      <c r="J17" s="227">
        <v>100</v>
      </c>
      <c r="K17" s="278">
        <v>100</v>
      </c>
      <c r="L17" s="278">
        <v>100</v>
      </c>
      <c r="M17" s="278">
        <v>100</v>
      </c>
      <c r="N17" s="278">
        <v>100</v>
      </c>
      <c r="O17" s="278">
        <v>100</v>
      </c>
      <c r="P17" s="278">
        <v>100</v>
      </c>
      <c r="Q17" s="278">
        <v>100</v>
      </c>
      <c r="R17" s="278">
        <v>100</v>
      </c>
      <c r="S17" s="278">
        <v>100</v>
      </c>
      <c r="T17" s="278">
        <v>100</v>
      </c>
      <c r="U17" s="278">
        <v>100</v>
      </c>
      <c r="V17" s="278">
        <v>100</v>
      </c>
      <c r="W17" s="278">
        <v>100</v>
      </c>
      <c r="X17" s="278">
        <v>100</v>
      </c>
      <c r="Y17" s="278">
        <v>100</v>
      </c>
      <c r="Z17" s="278">
        <v>100</v>
      </c>
      <c r="AA17" s="278">
        <v>100</v>
      </c>
      <c r="AB17" s="278">
        <v>100</v>
      </c>
      <c r="AC17" s="278">
        <v>100</v>
      </c>
      <c r="AD17" s="278">
        <v>100</v>
      </c>
      <c r="AE17" s="278">
        <v>100</v>
      </c>
      <c r="AF17" s="278">
        <v>100</v>
      </c>
      <c r="AG17" s="278">
        <v>100</v>
      </c>
      <c r="AH17" s="278">
        <v>100</v>
      </c>
      <c r="AI17" s="278">
        <v>100</v>
      </c>
      <c r="AJ17" s="278">
        <v>100</v>
      </c>
      <c r="AK17" s="278">
        <v>100</v>
      </c>
      <c r="AL17" s="278">
        <v>100</v>
      </c>
      <c r="AM17" s="278">
        <v>100</v>
      </c>
      <c r="AN17" s="278">
        <v>100</v>
      </c>
      <c r="AO17" s="278">
        <v>100</v>
      </c>
      <c r="AP17" s="9"/>
    </row>
    <row r="18" spans="1:309" ht="15" customHeight="1" x14ac:dyDescent="0.25">
      <c r="A18" s="35"/>
      <c r="B18" s="35"/>
      <c r="C18" s="35"/>
      <c r="D18" s="35"/>
      <c r="E18" s="35"/>
      <c r="F18" s="226"/>
      <c r="G18" s="226"/>
      <c r="H18" s="226"/>
      <c r="I18" s="226"/>
      <c r="J18" s="226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7"/>
    </row>
    <row r="19" spans="1:309" s="293" customFormat="1" ht="15" customHeight="1" x14ac:dyDescent="0.25">
      <c r="A19" s="170" t="s">
        <v>391</v>
      </c>
      <c r="B19" s="170"/>
      <c r="C19" s="170"/>
      <c r="D19" s="170"/>
      <c r="E19" s="170"/>
      <c r="F19" s="368"/>
      <c r="G19" s="368"/>
      <c r="H19" s="368"/>
      <c r="I19" s="368"/>
      <c r="J19" s="368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4"/>
      <c r="AQ19" s="7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  <c r="IA19" s="289"/>
      <c r="IB19" s="289"/>
      <c r="IC19" s="289"/>
      <c r="ID19" s="289"/>
      <c r="IE19" s="289"/>
      <c r="IF19" s="289"/>
      <c r="IG19" s="289"/>
      <c r="IH19" s="289"/>
      <c r="II19" s="289"/>
      <c r="IJ19" s="289"/>
      <c r="IK19" s="289"/>
      <c r="IL19" s="289"/>
      <c r="IM19" s="289"/>
      <c r="IN19" s="289"/>
      <c r="IO19" s="289"/>
      <c r="IP19" s="289"/>
      <c r="IQ19" s="289"/>
      <c r="IR19" s="289"/>
      <c r="IS19" s="289"/>
      <c r="IT19" s="289"/>
      <c r="IU19" s="289"/>
      <c r="IV19" s="289"/>
      <c r="IW19" s="289"/>
      <c r="IX19" s="289"/>
      <c r="IY19" s="289"/>
      <c r="IZ19" s="289"/>
      <c r="JA19" s="289"/>
      <c r="JB19" s="289"/>
      <c r="JC19" s="289"/>
      <c r="JD19" s="289"/>
      <c r="JE19" s="289"/>
      <c r="JF19" s="289"/>
      <c r="JG19" s="289"/>
      <c r="JH19" s="289"/>
      <c r="JI19" s="289"/>
      <c r="JJ19" s="289"/>
      <c r="JK19" s="289"/>
      <c r="JL19" s="289"/>
      <c r="JM19" s="289"/>
      <c r="JN19" s="289"/>
      <c r="JO19" s="289"/>
      <c r="JP19" s="289"/>
      <c r="JQ19" s="289"/>
      <c r="JR19" s="289"/>
      <c r="JS19" s="289"/>
      <c r="JT19" s="289"/>
      <c r="JU19" s="289"/>
      <c r="JV19" s="289"/>
      <c r="JW19" s="289"/>
      <c r="JX19" s="289"/>
      <c r="JY19" s="289"/>
      <c r="JZ19" s="289"/>
      <c r="KA19" s="289"/>
      <c r="KB19" s="289"/>
      <c r="KC19" s="289"/>
      <c r="KD19" s="289"/>
      <c r="KE19" s="289"/>
      <c r="KF19" s="289"/>
      <c r="KG19" s="289"/>
      <c r="KH19" s="289"/>
      <c r="KI19" s="289"/>
      <c r="KJ19" s="289"/>
      <c r="KK19" s="289"/>
      <c r="KL19" s="289"/>
      <c r="KM19" s="289"/>
      <c r="KN19" s="289"/>
      <c r="KO19" s="289"/>
      <c r="KP19" s="289"/>
      <c r="KQ19" s="289"/>
      <c r="KR19" s="289"/>
      <c r="KS19" s="289"/>
      <c r="KT19" s="289"/>
      <c r="KU19" s="289"/>
      <c r="KV19" s="289"/>
      <c r="KW19" s="289"/>
    </row>
    <row r="20" spans="1:309" s="293" customFormat="1" ht="15" customHeight="1" x14ac:dyDescent="0.25">
      <c r="A20" s="36"/>
      <c r="B20" s="36"/>
      <c r="C20" s="36"/>
      <c r="D20" s="36"/>
      <c r="E20" s="36"/>
      <c r="F20" s="369"/>
      <c r="G20" s="369"/>
      <c r="H20" s="369"/>
      <c r="I20" s="369"/>
      <c r="J20" s="369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6"/>
      <c r="AQ20" s="7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  <c r="IO20" s="289"/>
      <c r="IP20" s="289"/>
      <c r="IQ20" s="289"/>
      <c r="IR20" s="289"/>
      <c r="IS20" s="289"/>
      <c r="IT20" s="289"/>
      <c r="IU20" s="289"/>
      <c r="IV20" s="289"/>
      <c r="IW20" s="289"/>
      <c r="IX20" s="289"/>
      <c r="IY20" s="289"/>
      <c r="IZ20" s="289"/>
      <c r="JA20" s="289"/>
      <c r="JB20" s="289"/>
      <c r="JC20" s="289"/>
      <c r="JD20" s="289"/>
      <c r="JE20" s="289"/>
      <c r="JF20" s="289"/>
      <c r="JG20" s="289"/>
      <c r="JH20" s="289"/>
      <c r="JI20" s="289"/>
      <c r="JJ20" s="289"/>
      <c r="JK20" s="289"/>
      <c r="JL20" s="289"/>
      <c r="JM20" s="289"/>
      <c r="JN20" s="289"/>
      <c r="JO20" s="289"/>
      <c r="JP20" s="289"/>
      <c r="JQ20" s="289"/>
      <c r="JR20" s="289"/>
      <c r="JS20" s="289"/>
      <c r="JT20" s="289"/>
      <c r="JU20" s="289"/>
      <c r="JV20" s="289"/>
      <c r="JW20" s="289"/>
      <c r="JX20" s="289"/>
      <c r="JY20" s="289"/>
      <c r="JZ20" s="289"/>
      <c r="KA20" s="289"/>
      <c r="KB20" s="289"/>
      <c r="KC20" s="289"/>
      <c r="KD20" s="289"/>
      <c r="KE20" s="289"/>
      <c r="KF20" s="289"/>
      <c r="KG20" s="289"/>
      <c r="KH20" s="289"/>
      <c r="KI20" s="289"/>
      <c r="KJ20" s="289"/>
      <c r="KK20" s="289"/>
      <c r="KL20" s="289"/>
      <c r="KM20" s="289"/>
      <c r="KN20" s="289"/>
      <c r="KO20" s="289"/>
      <c r="KP20" s="289"/>
      <c r="KQ20" s="289"/>
      <c r="KR20" s="289"/>
      <c r="KS20" s="289"/>
      <c r="KT20" s="289"/>
      <c r="KU20" s="289"/>
      <c r="KV20" s="289"/>
      <c r="KW20" s="289"/>
    </row>
    <row r="21" spans="1:309" ht="15" customHeight="1" x14ac:dyDescent="0.25">
      <c r="A21" s="35" t="s">
        <v>109</v>
      </c>
      <c r="B21" s="226">
        <f>(('[2]BANCO DE DADOS'!$B$452+'[2]BANCO DE DADOS'!$B$453)/'[2]BANCO DE DADOS'!$B$457)*100</f>
        <v>75.331281661067635</v>
      </c>
      <c r="C21" s="226">
        <v>75.939530102769254</v>
      </c>
      <c r="D21" s="226">
        <v>75.762747170023431</v>
      </c>
      <c r="E21" s="226">
        <v>71.898368491679193</v>
      </c>
      <c r="F21" s="226">
        <v>70.844271718434641</v>
      </c>
      <c r="G21" s="226">
        <v>70.329856699601692</v>
      </c>
      <c r="H21" s="226">
        <v>70.16669933718552</v>
      </c>
      <c r="I21" s="371">
        <v>71.537590755888928</v>
      </c>
      <c r="J21" s="226">
        <v>70.043463768427443</v>
      </c>
      <c r="K21" s="280">
        <v>69.62816186964308</v>
      </c>
      <c r="L21" s="280">
        <v>70.01634875674165</v>
      </c>
      <c r="M21" s="280">
        <v>71.2</v>
      </c>
      <c r="N21" s="280">
        <v>70.400000000000006</v>
      </c>
      <c r="O21" s="280">
        <v>70.3</v>
      </c>
      <c r="P21" s="280">
        <v>70.8</v>
      </c>
      <c r="Q21" s="280">
        <v>71.7</v>
      </c>
      <c r="R21" s="280">
        <v>70.8</v>
      </c>
      <c r="S21" s="280">
        <v>70</v>
      </c>
      <c r="T21" s="280">
        <v>69.599999999999994</v>
      </c>
      <c r="U21" s="280">
        <v>70.3</v>
      </c>
      <c r="V21" s="280">
        <v>69.2</v>
      </c>
      <c r="W21" s="280">
        <v>68.2</v>
      </c>
      <c r="X21" s="280">
        <v>67.5</v>
      </c>
      <c r="Y21" s="280">
        <v>68.7</v>
      </c>
      <c r="Z21" s="280">
        <v>67.2</v>
      </c>
      <c r="AA21" s="280">
        <v>67.3</v>
      </c>
      <c r="AB21" s="280">
        <v>67</v>
      </c>
      <c r="AC21" s="280">
        <v>68.599999999999994</v>
      </c>
      <c r="AD21" s="280">
        <v>67.5</v>
      </c>
      <c r="AE21" s="280">
        <v>66.900000000000006</v>
      </c>
      <c r="AF21" s="280">
        <v>66.400000000000006</v>
      </c>
      <c r="AG21" s="280">
        <v>68</v>
      </c>
      <c r="AH21" s="280">
        <v>66.599999999999994</v>
      </c>
      <c r="AI21" s="280">
        <v>65.8</v>
      </c>
      <c r="AJ21" s="280">
        <v>65.900000000000006</v>
      </c>
      <c r="AK21" s="280">
        <v>67</v>
      </c>
      <c r="AL21" s="280">
        <v>66.2</v>
      </c>
      <c r="AM21" s="280">
        <v>66.099999999999994</v>
      </c>
      <c r="AN21" s="280">
        <v>66</v>
      </c>
      <c r="AO21" s="280">
        <v>67.2</v>
      </c>
    </row>
    <row r="22" spans="1:309" ht="15" customHeight="1" x14ac:dyDescent="0.25">
      <c r="A22" s="18" t="s">
        <v>110</v>
      </c>
      <c r="B22" s="227">
        <f>('[2]BANCO DE DADOS'!$B$454/'[2]BANCO DE DADOS'!$B$457)*100</f>
        <v>14.669199476601024</v>
      </c>
      <c r="C22" s="227">
        <v>13.888175316146755</v>
      </c>
      <c r="D22" s="227">
        <v>13.864861092962833</v>
      </c>
      <c r="E22" s="227">
        <v>16.520444332012801</v>
      </c>
      <c r="F22" s="227">
        <v>16.712833327127882</v>
      </c>
      <c r="G22" s="227">
        <v>16.82403887456919</v>
      </c>
      <c r="H22" s="227">
        <v>16.83984137535764</v>
      </c>
      <c r="I22" s="370">
        <v>16.475047270532883</v>
      </c>
      <c r="J22" s="227">
        <v>16.900914107393763</v>
      </c>
      <c r="K22" s="278">
        <v>16.947302768275943</v>
      </c>
      <c r="L22" s="278">
        <v>16.592566247662397</v>
      </c>
      <c r="M22" s="278">
        <v>16.399999999999999</v>
      </c>
      <c r="N22" s="278">
        <v>16.5</v>
      </c>
      <c r="O22" s="278">
        <v>16.5</v>
      </c>
      <c r="P22" s="278">
        <v>16.3</v>
      </c>
      <c r="Q22" s="278">
        <v>16</v>
      </c>
      <c r="R22" s="278">
        <v>16.2</v>
      </c>
      <c r="S22" s="278">
        <v>16.5</v>
      </c>
      <c r="T22" s="278">
        <v>17</v>
      </c>
      <c r="U22" s="278">
        <v>17</v>
      </c>
      <c r="V22" s="278">
        <v>17.3</v>
      </c>
      <c r="W22" s="278">
        <v>17.8</v>
      </c>
      <c r="X22" s="278">
        <v>18</v>
      </c>
      <c r="Y22" s="278">
        <v>17.2</v>
      </c>
      <c r="Z22" s="278">
        <v>17.5</v>
      </c>
      <c r="AA22" s="278">
        <v>17.5</v>
      </c>
      <c r="AB22" s="278">
        <v>17.600000000000001</v>
      </c>
      <c r="AC22" s="278">
        <v>17.2</v>
      </c>
      <c r="AD22" s="278">
        <v>17.8</v>
      </c>
      <c r="AE22" s="278">
        <v>17.899999999999999</v>
      </c>
      <c r="AF22" s="278">
        <v>17.899999999999999</v>
      </c>
      <c r="AG22" s="278">
        <v>17.5</v>
      </c>
      <c r="AH22" s="278">
        <v>17.8</v>
      </c>
      <c r="AI22" s="278">
        <v>18.3</v>
      </c>
      <c r="AJ22" s="278">
        <v>18.3</v>
      </c>
      <c r="AK22" s="278">
        <v>18</v>
      </c>
      <c r="AL22" s="278">
        <v>18.100000000000001</v>
      </c>
      <c r="AM22" s="278">
        <v>17.899999999999999</v>
      </c>
      <c r="AN22" s="278">
        <v>18.100000000000001</v>
      </c>
      <c r="AO22" s="278">
        <v>17.8</v>
      </c>
      <c r="AP22" s="9"/>
    </row>
    <row r="23" spans="1:309" ht="15" customHeight="1" x14ac:dyDescent="0.25">
      <c r="A23" s="35" t="s">
        <v>111</v>
      </c>
      <c r="B23" s="226">
        <f>('[2]BANCO DE DADOS'!$B$455/'[2]BANCO DE DADOS'!$B$457)*100</f>
        <v>3.661194274516979</v>
      </c>
      <c r="C23" s="226">
        <v>3.5872774696564544</v>
      </c>
      <c r="D23" s="226">
        <v>3.4230832207055242</v>
      </c>
      <c r="E23" s="226">
        <v>3.75336875379053</v>
      </c>
      <c r="F23" s="226">
        <v>3.7199504656085978</v>
      </c>
      <c r="G23" s="226">
        <v>3.8885785634859618</v>
      </c>
      <c r="H23" s="226">
        <v>3.8317437394642431</v>
      </c>
      <c r="I23" s="371">
        <v>3.815311497610621</v>
      </c>
      <c r="J23" s="226">
        <v>3.8937454092722299</v>
      </c>
      <c r="K23" s="280">
        <v>4.0625555876571111</v>
      </c>
      <c r="L23" s="280">
        <v>3.9627061356366351</v>
      </c>
      <c r="M23" s="280">
        <v>4</v>
      </c>
      <c r="N23" s="280">
        <v>3.9</v>
      </c>
      <c r="O23" s="280">
        <v>3.9</v>
      </c>
      <c r="P23" s="280">
        <v>3.8</v>
      </c>
      <c r="Q23" s="280">
        <v>3.8</v>
      </c>
      <c r="R23" s="280">
        <v>4</v>
      </c>
      <c r="S23" s="280">
        <v>4.2</v>
      </c>
      <c r="T23" s="280">
        <v>4</v>
      </c>
      <c r="U23" s="280">
        <v>4.2</v>
      </c>
      <c r="V23" s="280">
        <v>4.4000000000000004</v>
      </c>
      <c r="W23" s="280">
        <v>4.7</v>
      </c>
      <c r="X23" s="280">
        <v>5.0999999999999996</v>
      </c>
      <c r="Y23" s="280">
        <v>5.4</v>
      </c>
      <c r="Z23" s="280">
        <v>5.8</v>
      </c>
      <c r="AA23" s="280">
        <v>5.9</v>
      </c>
      <c r="AB23" s="280">
        <v>6.1</v>
      </c>
      <c r="AC23" s="280">
        <v>5.8</v>
      </c>
      <c r="AD23" s="280">
        <v>5.6</v>
      </c>
      <c r="AE23" s="280">
        <v>5.8</v>
      </c>
      <c r="AF23" s="280">
        <v>6</v>
      </c>
      <c r="AG23" s="280">
        <v>5.7</v>
      </c>
      <c r="AH23" s="280">
        <v>6</v>
      </c>
      <c r="AI23" s="280">
        <v>6.1</v>
      </c>
      <c r="AJ23" s="280">
        <v>6</v>
      </c>
      <c r="AK23" s="280">
        <v>6.1</v>
      </c>
      <c r="AL23" s="280">
        <v>6.1</v>
      </c>
      <c r="AM23" s="280">
        <v>6.2</v>
      </c>
      <c r="AN23" s="280">
        <v>6</v>
      </c>
      <c r="AO23" s="280">
        <v>6.1</v>
      </c>
    </row>
    <row r="24" spans="1:309" ht="15" customHeight="1" x14ac:dyDescent="0.25">
      <c r="A24" s="18" t="s">
        <v>112</v>
      </c>
      <c r="B24" s="227">
        <f>('[2]BANCO DE DADOS'!$B$456/'[2]BANCO DE DADOS'!$B$457)*100</f>
        <v>6.3383245878143661</v>
      </c>
      <c r="C24" s="227">
        <v>6.58501711142753</v>
      </c>
      <c r="D24" s="227">
        <v>6.9493085163082089</v>
      </c>
      <c r="E24" s="227">
        <v>7.8278184225174794</v>
      </c>
      <c r="F24" s="227">
        <v>8.7229444888288885</v>
      </c>
      <c r="G24" s="227">
        <v>8.9575258623431626</v>
      </c>
      <c r="H24" s="227">
        <v>9.1617155479925891</v>
      </c>
      <c r="I24" s="370">
        <v>8.1720504759675912</v>
      </c>
      <c r="J24" s="227">
        <v>9.1618767149065619</v>
      </c>
      <c r="K24" s="278">
        <v>9.3619797744238653</v>
      </c>
      <c r="L24" s="278">
        <v>9.4476875968828651</v>
      </c>
      <c r="M24" s="278">
        <v>8.4</v>
      </c>
      <c r="N24" s="278">
        <v>9.1999999999999993</v>
      </c>
      <c r="O24" s="278">
        <v>9.3000000000000007</v>
      </c>
      <c r="P24" s="278">
        <v>9.1999999999999993</v>
      </c>
      <c r="Q24" s="278">
        <v>8.5</v>
      </c>
      <c r="R24" s="278">
        <v>9</v>
      </c>
      <c r="S24" s="278">
        <v>9.3000000000000007</v>
      </c>
      <c r="T24" s="278">
        <v>9.3000000000000007</v>
      </c>
      <c r="U24" s="278">
        <v>8.5</v>
      </c>
      <c r="V24" s="278">
        <v>9.1</v>
      </c>
      <c r="W24" s="278">
        <v>9.3000000000000007</v>
      </c>
      <c r="X24" s="278">
        <v>9.4</v>
      </c>
      <c r="Y24" s="278">
        <v>8.6999999999999993</v>
      </c>
      <c r="Z24" s="278">
        <v>9.5</v>
      </c>
      <c r="AA24" s="278">
        <v>9.3000000000000007</v>
      </c>
      <c r="AB24" s="278">
        <v>9.3000000000000007</v>
      </c>
      <c r="AC24" s="278">
        <v>8.4</v>
      </c>
      <c r="AD24" s="278">
        <v>9.1</v>
      </c>
      <c r="AE24" s="278">
        <v>9.3000000000000007</v>
      </c>
      <c r="AF24" s="278">
        <v>9.6999999999999993</v>
      </c>
      <c r="AG24" s="278">
        <v>8.8000000000000007</v>
      </c>
      <c r="AH24" s="278">
        <v>9.6</v>
      </c>
      <c r="AI24" s="278">
        <v>9.8000000000000007</v>
      </c>
      <c r="AJ24" s="278">
        <v>9.8000000000000007</v>
      </c>
      <c r="AK24" s="278">
        <v>8.9</v>
      </c>
      <c r="AL24" s="278">
        <v>9.6</v>
      </c>
      <c r="AM24" s="278">
        <v>9.8000000000000007</v>
      </c>
      <c r="AN24" s="278">
        <v>9.9</v>
      </c>
      <c r="AO24" s="278">
        <v>8.8000000000000007</v>
      </c>
      <c r="AP24" s="9"/>
    </row>
    <row r="25" spans="1:309" ht="15" customHeight="1" x14ac:dyDescent="0.25">
      <c r="A25" s="35" t="s">
        <v>113</v>
      </c>
      <c r="B25" s="226">
        <f>SUM(B21:B24)</f>
        <v>100</v>
      </c>
      <c r="C25" s="226">
        <v>100</v>
      </c>
      <c r="D25" s="226">
        <f>SUM(D21:D24)</f>
        <v>99.999999999999986</v>
      </c>
      <c r="E25" s="226">
        <f>SUM(E21:E24)</f>
        <v>100</v>
      </c>
      <c r="F25" s="226">
        <f>SUM(F21:F24)</f>
        <v>100</v>
      </c>
      <c r="G25" s="226">
        <f>SUM(G21:G24)</f>
        <v>100.00000000000001</v>
      </c>
      <c r="H25" s="226">
        <v>99.999999999999986</v>
      </c>
      <c r="I25" s="226">
        <v>100.00000000000003</v>
      </c>
      <c r="J25" s="226">
        <v>100</v>
      </c>
      <c r="K25" s="280">
        <v>100</v>
      </c>
      <c r="L25" s="280">
        <v>100.01930873692355</v>
      </c>
      <c r="M25" s="280">
        <v>100</v>
      </c>
      <c r="N25" s="280">
        <v>100</v>
      </c>
      <c r="O25" s="280">
        <v>100</v>
      </c>
      <c r="P25" s="280">
        <v>100</v>
      </c>
      <c r="Q25" s="280">
        <v>100</v>
      </c>
      <c r="R25" s="280">
        <v>100</v>
      </c>
      <c r="S25" s="280">
        <v>100</v>
      </c>
      <c r="T25" s="280">
        <v>100</v>
      </c>
      <c r="U25" s="280">
        <v>100</v>
      </c>
      <c r="V25" s="280">
        <v>100</v>
      </c>
      <c r="W25" s="280">
        <v>100</v>
      </c>
      <c r="X25" s="280">
        <v>100</v>
      </c>
      <c r="Y25" s="280">
        <v>100</v>
      </c>
      <c r="Z25" s="280">
        <v>100</v>
      </c>
      <c r="AA25" s="280">
        <v>100</v>
      </c>
      <c r="AB25" s="280">
        <v>100</v>
      </c>
      <c r="AC25" s="280">
        <v>100</v>
      </c>
      <c r="AD25" s="280">
        <v>100</v>
      </c>
      <c r="AE25" s="280">
        <v>100</v>
      </c>
      <c r="AF25" s="280">
        <v>100</v>
      </c>
      <c r="AG25" s="280">
        <v>100</v>
      </c>
      <c r="AH25" s="280">
        <v>100</v>
      </c>
      <c r="AI25" s="280">
        <v>100</v>
      </c>
      <c r="AJ25" s="280">
        <v>100</v>
      </c>
      <c r="AK25" s="280">
        <v>100</v>
      </c>
      <c r="AL25" s="280">
        <v>100</v>
      </c>
      <c r="AM25" s="280">
        <v>100</v>
      </c>
      <c r="AN25" s="280">
        <v>100</v>
      </c>
      <c r="AO25" s="280">
        <v>100</v>
      </c>
    </row>
    <row r="26" spans="1:309" ht="15" customHeight="1" x14ac:dyDescent="0.25">
      <c r="A26" s="18"/>
      <c r="B26" s="18"/>
      <c r="C26" s="18"/>
      <c r="D26" s="18"/>
      <c r="E26" s="18"/>
      <c r="F26" s="227"/>
      <c r="G26" s="227"/>
      <c r="H26" s="227"/>
      <c r="I26" s="227"/>
      <c r="J26" s="227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9"/>
    </row>
    <row r="27" spans="1:309" s="294" customFormat="1" ht="15" customHeight="1" x14ac:dyDescent="0.25">
      <c r="A27" s="143" t="s">
        <v>345</v>
      </c>
      <c r="B27" s="143"/>
      <c r="C27" s="143"/>
      <c r="D27" s="143"/>
      <c r="E27" s="143"/>
      <c r="F27" s="287"/>
      <c r="G27" s="287"/>
      <c r="H27" s="287"/>
      <c r="I27" s="287"/>
      <c r="J27" s="287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117"/>
      <c r="AQ27" s="7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/>
      <c r="CP27" s="289"/>
      <c r="CQ27" s="289"/>
      <c r="CR27" s="289"/>
      <c r="CS27" s="289"/>
      <c r="CT27" s="289"/>
      <c r="CU27" s="289"/>
      <c r="CV27" s="289"/>
      <c r="CW27" s="289"/>
      <c r="CX27" s="289"/>
      <c r="CY27" s="289"/>
      <c r="CZ27" s="289"/>
      <c r="DA27" s="289"/>
      <c r="DB27" s="289"/>
      <c r="DC27" s="289"/>
      <c r="DD27" s="289"/>
      <c r="DE27" s="289"/>
      <c r="DF27" s="289"/>
      <c r="DG27" s="289"/>
      <c r="DH27" s="289"/>
      <c r="DI27" s="289"/>
      <c r="DJ27" s="289"/>
      <c r="DK27" s="289"/>
      <c r="DL27" s="289"/>
      <c r="DM27" s="289"/>
      <c r="DN27" s="289"/>
      <c r="DO27" s="289"/>
      <c r="DP27" s="289"/>
      <c r="DQ27" s="289"/>
      <c r="DR27" s="289"/>
      <c r="DS27" s="289"/>
      <c r="DT27" s="289"/>
      <c r="DU27" s="289"/>
      <c r="DV27" s="289"/>
      <c r="DW27" s="289"/>
      <c r="DX27" s="289"/>
      <c r="DY27" s="289"/>
      <c r="DZ27" s="289"/>
      <c r="EA27" s="289"/>
      <c r="EB27" s="289"/>
      <c r="EC27" s="289"/>
      <c r="ED27" s="289"/>
      <c r="EE27" s="289"/>
      <c r="EF27" s="289"/>
      <c r="EG27" s="289"/>
      <c r="EH27" s="289"/>
      <c r="EI27" s="289"/>
      <c r="EJ27" s="289"/>
      <c r="EK27" s="289"/>
      <c r="EL27" s="289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9"/>
      <c r="EX27" s="289"/>
      <c r="EY27" s="289"/>
      <c r="EZ27" s="289"/>
      <c r="FA27" s="289"/>
      <c r="FB27" s="289"/>
      <c r="FC27" s="289"/>
      <c r="FD27" s="289"/>
      <c r="FE27" s="289"/>
      <c r="FF27" s="289"/>
      <c r="FG27" s="289"/>
      <c r="FH27" s="289"/>
      <c r="FI27" s="289"/>
      <c r="FJ27" s="289"/>
      <c r="FK27" s="289"/>
      <c r="FL27" s="289"/>
      <c r="FM27" s="289"/>
      <c r="FN27" s="289"/>
      <c r="FO27" s="289"/>
      <c r="FP27" s="289"/>
      <c r="FQ27" s="289"/>
      <c r="FR27" s="289"/>
      <c r="FS27" s="289"/>
      <c r="FT27" s="289"/>
      <c r="FU27" s="289"/>
      <c r="FV27" s="289"/>
      <c r="FW27" s="289"/>
      <c r="FX27" s="289"/>
      <c r="FY27" s="289"/>
      <c r="FZ27" s="289"/>
      <c r="GA27" s="289"/>
      <c r="GB27" s="289"/>
      <c r="GC27" s="289"/>
      <c r="GD27" s="289"/>
      <c r="GE27" s="289"/>
      <c r="GF27" s="289"/>
      <c r="GG27" s="289"/>
      <c r="GH27" s="289"/>
      <c r="GI27" s="289"/>
      <c r="GJ27" s="289"/>
      <c r="GK27" s="289"/>
      <c r="GL27" s="289"/>
      <c r="GM27" s="289"/>
      <c r="GN27" s="289"/>
      <c r="GO27" s="289"/>
      <c r="GP27" s="289"/>
      <c r="GQ27" s="289"/>
      <c r="GR27" s="289"/>
      <c r="GS27" s="289"/>
      <c r="GT27" s="289"/>
      <c r="GU27" s="289"/>
      <c r="GV27" s="289"/>
      <c r="GW27" s="289"/>
      <c r="GX27" s="289"/>
      <c r="GY27" s="289"/>
      <c r="GZ27" s="289"/>
      <c r="HA27" s="289"/>
      <c r="HB27" s="289"/>
      <c r="HC27" s="289"/>
      <c r="HD27" s="289"/>
      <c r="HE27" s="289"/>
      <c r="HF27" s="289"/>
      <c r="HG27" s="289"/>
      <c r="HH27" s="289"/>
      <c r="HI27" s="289"/>
      <c r="HJ27" s="289"/>
      <c r="HK27" s="289"/>
      <c r="HL27" s="289"/>
      <c r="HM27" s="289"/>
      <c r="HN27" s="289"/>
      <c r="HO27" s="289"/>
      <c r="HP27" s="289"/>
      <c r="HQ27" s="289"/>
      <c r="HR27" s="289"/>
      <c r="HS27" s="289"/>
      <c r="HT27" s="289"/>
      <c r="HU27" s="289"/>
      <c r="HV27" s="289"/>
      <c r="HW27" s="289"/>
      <c r="HX27" s="289"/>
      <c r="HY27" s="289"/>
      <c r="HZ27" s="289"/>
      <c r="IA27" s="289"/>
      <c r="IB27" s="289"/>
      <c r="IC27" s="289"/>
      <c r="ID27" s="289"/>
      <c r="IE27" s="289"/>
      <c r="IF27" s="289"/>
      <c r="IG27" s="289"/>
      <c r="IH27" s="289"/>
      <c r="II27" s="289"/>
      <c r="IJ27" s="289"/>
      <c r="IK27" s="289"/>
      <c r="IL27" s="289"/>
      <c r="IM27" s="289"/>
      <c r="IN27" s="289"/>
      <c r="IO27" s="289"/>
      <c r="IP27" s="289"/>
      <c r="IQ27" s="289"/>
      <c r="IR27" s="289"/>
      <c r="IS27" s="289"/>
      <c r="IT27" s="289"/>
      <c r="IU27" s="289"/>
      <c r="IV27" s="289"/>
      <c r="IW27" s="289"/>
      <c r="IX27" s="289"/>
      <c r="IY27" s="289"/>
      <c r="IZ27" s="289"/>
      <c r="JA27" s="289"/>
      <c r="JB27" s="289"/>
      <c r="JC27" s="289"/>
      <c r="JD27" s="289"/>
      <c r="JE27" s="289"/>
      <c r="JF27" s="289"/>
      <c r="JG27" s="289"/>
      <c r="JH27" s="289"/>
      <c r="JI27" s="289"/>
      <c r="JJ27" s="289"/>
      <c r="JK27" s="289"/>
      <c r="JL27" s="289"/>
      <c r="JM27" s="289"/>
      <c r="JN27" s="289"/>
      <c r="JO27" s="289"/>
      <c r="JP27" s="289"/>
      <c r="JQ27" s="289"/>
      <c r="JR27" s="289"/>
      <c r="JS27" s="289"/>
      <c r="JT27" s="289"/>
      <c r="JU27" s="289"/>
      <c r="JV27" s="289"/>
      <c r="JW27" s="289"/>
      <c r="JX27" s="289"/>
      <c r="JY27" s="289"/>
      <c r="JZ27" s="289"/>
      <c r="KA27" s="289"/>
      <c r="KB27" s="289"/>
      <c r="KC27" s="289"/>
      <c r="KD27" s="289"/>
      <c r="KE27" s="289"/>
      <c r="KF27" s="289"/>
      <c r="KG27" s="289"/>
      <c r="KH27" s="289"/>
      <c r="KI27" s="289"/>
      <c r="KJ27" s="289"/>
      <c r="KK27" s="289"/>
      <c r="KL27" s="289"/>
      <c r="KM27" s="289"/>
      <c r="KN27" s="289"/>
      <c r="KO27" s="289"/>
      <c r="KP27" s="289"/>
      <c r="KQ27" s="289"/>
      <c r="KR27" s="289"/>
      <c r="KS27" s="289"/>
      <c r="KT27" s="289"/>
      <c r="KU27" s="289"/>
      <c r="KV27" s="289"/>
      <c r="KW27" s="289"/>
    </row>
    <row r="28" spans="1:309" s="294" customFormat="1" ht="15" customHeight="1" x14ac:dyDescent="0.25">
      <c r="A28" s="170" t="s">
        <v>133</v>
      </c>
      <c r="B28" s="170"/>
      <c r="C28" s="170"/>
      <c r="D28" s="170"/>
      <c r="E28" s="170"/>
      <c r="F28" s="287"/>
      <c r="G28" s="287"/>
      <c r="H28" s="287"/>
      <c r="I28" s="287"/>
      <c r="J28" s="287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117"/>
      <c r="AQ28" s="7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89"/>
      <c r="DT28" s="289"/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89"/>
      <c r="EG28" s="289"/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89"/>
      <c r="ET28" s="289"/>
      <c r="EU28" s="289"/>
      <c r="EV28" s="289"/>
      <c r="EW28" s="289"/>
      <c r="EX28" s="289"/>
      <c r="EY28" s="289"/>
      <c r="EZ28" s="289"/>
      <c r="FA28" s="289"/>
      <c r="FB28" s="289"/>
      <c r="FC28" s="289"/>
      <c r="FD28" s="289"/>
      <c r="FE28" s="289"/>
      <c r="FF28" s="289"/>
      <c r="FG28" s="289"/>
      <c r="FH28" s="289"/>
      <c r="FI28" s="289"/>
      <c r="FJ28" s="289"/>
      <c r="FK28" s="289"/>
      <c r="FL28" s="289"/>
      <c r="FM28" s="289"/>
      <c r="FN28" s="289"/>
      <c r="FO28" s="289"/>
      <c r="FP28" s="289"/>
      <c r="FQ28" s="289"/>
      <c r="FR28" s="289"/>
      <c r="FS28" s="289"/>
      <c r="FT28" s="289"/>
      <c r="FU28" s="289"/>
      <c r="FV28" s="289"/>
      <c r="FW28" s="289"/>
      <c r="FX28" s="289"/>
      <c r="FY28" s="289"/>
      <c r="FZ28" s="289"/>
      <c r="GA28" s="289"/>
      <c r="GB28" s="289"/>
      <c r="GC28" s="289"/>
      <c r="GD28" s="289"/>
      <c r="GE28" s="289"/>
      <c r="GF28" s="289"/>
      <c r="GG28" s="289"/>
      <c r="GH28" s="289"/>
      <c r="GI28" s="289"/>
      <c r="GJ28" s="289"/>
      <c r="GK28" s="289"/>
      <c r="GL28" s="289"/>
      <c r="GM28" s="289"/>
      <c r="GN28" s="289"/>
      <c r="GO28" s="289"/>
      <c r="GP28" s="289"/>
      <c r="GQ28" s="289"/>
      <c r="GR28" s="289"/>
      <c r="GS28" s="289"/>
      <c r="GT28" s="289"/>
      <c r="GU28" s="289"/>
      <c r="GV28" s="289"/>
      <c r="GW28" s="289"/>
      <c r="GX28" s="289"/>
      <c r="GY28" s="289"/>
      <c r="GZ28" s="289"/>
      <c r="HA28" s="289"/>
      <c r="HB28" s="289"/>
      <c r="HC28" s="289"/>
      <c r="HD28" s="289"/>
      <c r="HE28" s="289"/>
      <c r="HF28" s="289"/>
      <c r="HG28" s="289"/>
      <c r="HH28" s="289"/>
      <c r="HI28" s="289"/>
      <c r="HJ28" s="289"/>
      <c r="HK28" s="289"/>
      <c r="HL28" s="289"/>
      <c r="HM28" s="289"/>
      <c r="HN28" s="289"/>
      <c r="HO28" s="289"/>
      <c r="HP28" s="289"/>
      <c r="HQ28" s="289"/>
      <c r="HR28" s="289"/>
      <c r="HS28" s="289"/>
      <c r="HT28" s="289"/>
      <c r="HU28" s="289"/>
      <c r="HV28" s="289"/>
      <c r="HW28" s="289"/>
      <c r="HX28" s="289"/>
      <c r="HY28" s="289"/>
      <c r="HZ28" s="289"/>
      <c r="IA28" s="289"/>
      <c r="IB28" s="289"/>
      <c r="IC28" s="289"/>
      <c r="ID28" s="289"/>
      <c r="IE28" s="289"/>
      <c r="IF28" s="289"/>
      <c r="IG28" s="289"/>
      <c r="IH28" s="289"/>
      <c r="II28" s="289"/>
      <c r="IJ28" s="289"/>
      <c r="IK28" s="289"/>
      <c r="IL28" s="289"/>
      <c r="IM28" s="289"/>
      <c r="IN28" s="289"/>
      <c r="IO28" s="289"/>
      <c r="IP28" s="289"/>
      <c r="IQ28" s="289"/>
      <c r="IR28" s="289"/>
      <c r="IS28" s="289"/>
      <c r="IT28" s="289"/>
      <c r="IU28" s="289"/>
      <c r="IV28" s="289"/>
      <c r="IW28" s="289"/>
      <c r="IX28" s="289"/>
      <c r="IY28" s="289"/>
      <c r="IZ28" s="289"/>
      <c r="JA28" s="289"/>
      <c r="JB28" s="289"/>
      <c r="JC28" s="289"/>
      <c r="JD28" s="289"/>
      <c r="JE28" s="289"/>
      <c r="JF28" s="289"/>
      <c r="JG28" s="289"/>
      <c r="JH28" s="289"/>
      <c r="JI28" s="289"/>
      <c r="JJ28" s="289"/>
      <c r="JK28" s="289"/>
      <c r="JL28" s="289"/>
      <c r="JM28" s="289"/>
      <c r="JN28" s="289"/>
      <c r="JO28" s="289"/>
      <c r="JP28" s="289"/>
      <c r="JQ28" s="289"/>
      <c r="JR28" s="289"/>
      <c r="JS28" s="289"/>
      <c r="JT28" s="289"/>
      <c r="JU28" s="289"/>
      <c r="JV28" s="289"/>
      <c r="JW28" s="289"/>
      <c r="JX28" s="289"/>
      <c r="JY28" s="289"/>
      <c r="JZ28" s="289"/>
      <c r="KA28" s="289"/>
      <c r="KB28" s="289"/>
      <c r="KC28" s="289"/>
      <c r="KD28" s="289"/>
      <c r="KE28" s="289"/>
      <c r="KF28" s="289"/>
      <c r="KG28" s="289"/>
      <c r="KH28" s="289"/>
      <c r="KI28" s="289"/>
      <c r="KJ28" s="289"/>
      <c r="KK28" s="289"/>
      <c r="KL28" s="289"/>
      <c r="KM28" s="289"/>
      <c r="KN28" s="289"/>
      <c r="KO28" s="289"/>
      <c r="KP28" s="289"/>
      <c r="KQ28" s="289"/>
      <c r="KR28" s="289"/>
      <c r="KS28" s="289"/>
      <c r="KT28" s="289"/>
      <c r="KU28" s="289"/>
      <c r="KV28" s="289"/>
      <c r="KW28" s="289"/>
    </row>
    <row r="29" spans="1:309" ht="15" customHeight="1" x14ac:dyDescent="0.25">
      <c r="A29" s="34"/>
      <c r="B29" s="34"/>
      <c r="C29" s="34"/>
      <c r="D29" s="34"/>
      <c r="E29" s="34"/>
      <c r="F29" s="288"/>
      <c r="G29" s="288"/>
      <c r="H29" s="288"/>
      <c r="I29" s="288"/>
      <c r="J29" s="288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7"/>
    </row>
    <row r="30" spans="1:309" ht="15" customHeight="1" x14ac:dyDescent="0.25">
      <c r="A30" s="18" t="s">
        <v>109</v>
      </c>
      <c r="B30" s="227">
        <f>(('[2]BANCO DE DADOS'!$B$419+'[2]BANCO DE DADOS'!$B$420)/'[2]BANCO DE DADOS'!$B$424)*100</f>
        <v>87.245160360514134</v>
      </c>
      <c r="C30" s="227">
        <v>87.705677550227264</v>
      </c>
      <c r="D30" s="227">
        <v>87.844366975840714</v>
      </c>
      <c r="E30" s="227">
        <v>85.746598204454841</v>
      </c>
      <c r="F30" s="227">
        <v>84.904655436350453</v>
      </c>
      <c r="G30" s="227">
        <v>84.807724705960354</v>
      </c>
      <c r="H30" s="227">
        <v>84.836646582131266</v>
      </c>
      <c r="I30" s="370">
        <v>85.785771047531185</v>
      </c>
      <c r="J30" s="227">
        <v>84.884009378774337</v>
      </c>
      <c r="K30" s="278">
        <v>84.756779795449248</v>
      </c>
      <c r="L30" s="278">
        <v>84.90709628243134</v>
      </c>
      <c r="M30" s="278">
        <v>85.6</v>
      </c>
      <c r="N30" s="278">
        <v>84.9</v>
      </c>
      <c r="O30" s="278">
        <v>84.6</v>
      </c>
      <c r="P30" s="278">
        <v>84.8</v>
      </c>
      <c r="Q30" s="278">
        <v>85.6</v>
      </c>
      <c r="R30" s="278">
        <v>84.8</v>
      </c>
      <c r="S30" s="278">
        <v>84.5</v>
      </c>
      <c r="T30" s="278">
        <v>84.3</v>
      </c>
      <c r="U30" s="278">
        <v>84.8</v>
      </c>
      <c r="V30" s="278">
        <v>84.1</v>
      </c>
      <c r="W30" s="278">
        <v>83.7</v>
      </c>
      <c r="X30" s="278">
        <v>83.4</v>
      </c>
      <c r="Y30" s="278">
        <v>83.9</v>
      </c>
      <c r="Z30" s="278">
        <v>82.7</v>
      </c>
      <c r="AA30" s="278">
        <v>82.7</v>
      </c>
      <c r="AB30" s="278">
        <v>82.5</v>
      </c>
      <c r="AC30" s="278">
        <v>83.3</v>
      </c>
      <c r="AD30" s="278">
        <v>82.4</v>
      </c>
      <c r="AE30" s="278">
        <v>82.1</v>
      </c>
      <c r="AF30" s="278">
        <v>82</v>
      </c>
      <c r="AG30" s="278">
        <v>83</v>
      </c>
      <c r="AH30" s="278">
        <v>82.2</v>
      </c>
      <c r="AI30" s="278">
        <v>81.8</v>
      </c>
      <c r="AJ30" s="278">
        <v>81.8</v>
      </c>
      <c r="AK30" s="278">
        <v>82.6</v>
      </c>
      <c r="AL30" s="278">
        <v>81.8</v>
      </c>
      <c r="AM30" s="278">
        <v>81.7</v>
      </c>
      <c r="AN30" s="278">
        <v>81.7</v>
      </c>
      <c r="AO30" s="278">
        <v>82.6</v>
      </c>
      <c r="AP30" s="9"/>
    </row>
    <row r="31" spans="1:309" ht="15" customHeight="1" x14ac:dyDescent="0.25">
      <c r="A31" s="35" t="s">
        <v>110</v>
      </c>
      <c r="B31" s="226">
        <f>('[2]BANCO DE DADOS'!$B$421/'[2]BANCO DE DADOS'!$B$424)*100</f>
        <v>7.0640722991216416</v>
      </c>
      <c r="C31" s="226">
        <v>6.5789510907775561</v>
      </c>
      <c r="D31" s="226">
        <v>6.4056167967678919</v>
      </c>
      <c r="E31" s="226">
        <v>7.7924115193197183</v>
      </c>
      <c r="F31" s="226">
        <v>7.9525441377164814</v>
      </c>
      <c r="G31" s="226">
        <v>7.954716174532499</v>
      </c>
      <c r="H31" s="226">
        <v>7.9174363985921881</v>
      </c>
      <c r="I31" s="371">
        <v>7.7262700948147982</v>
      </c>
      <c r="J31" s="226">
        <v>7.9048281662961601</v>
      </c>
      <c r="K31" s="280">
        <v>7.9071956313604224</v>
      </c>
      <c r="L31" s="280">
        <v>7.8219741140652905</v>
      </c>
      <c r="M31" s="280">
        <v>7.7</v>
      </c>
      <c r="N31" s="280">
        <v>7.9</v>
      </c>
      <c r="O31" s="280">
        <v>8</v>
      </c>
      <c r="P31" s="280">
        <v>8</v>
      </c>
      <c r="Q31" s="280">
        <v>7.8</v>
      </c>
      <c r="R31" s="280">
        <v>7.9</v>
      </c>
      <c r="S31" s="280">
        <v>8.1</v>
      </c>
      <c r="T31" s="280">
        <v>8.5</v>
      </c>
      <c r="U31" s="280">
        <v>8.6999999999999993</v>
      </c>
      <c r="V31" s="280">
        <v>8.8000000000000007</v>
      </c>
      <c r="W31" s="280">
        <v>9</v>
      </c>
      <c r="X31" s="280">
        <v>9.1</v>
      </c>
      <c r="Y31" s="280">
        <v>8.9</v>
      </c>
      <c r="Z31" s="280">
        <v>9.1</v>
      </c>
      <c r="AA31" s="280">
        <v>9.1</v>
      </c>
      <c r="AB31" s="280">
        <v>9.1</v>
      </c>
      <c r="AC31" s="280">
        <v>9</v>
      </c>
      <c r="AD31" s="280">
        <v>9.4</v>
      </c>
      <c r="AE31" s="280">
        <v>9.4</v>
      </c>
      <c r="AF31" s="280">
        <v>9.4</v>
      </c>
      <c r="AG31" s="280">
        <v>9.1999999999999993</v>
      </c>
      <c r="AH31" s="280">
        <v>9.4</v>
      </c>
      <c r="AI31" s="280">
        <v>9.6</v>
      </c>
      <c r="AJ31" s="280">
        <v>9.6</v>
      </c>
      <c r="AK31" s="280">
        <v>9.4</v>
      </c>
      <c r="AL31" s="280">
        <v>9.5</v>
      </c>
      <c r="AM31" s="280">
        <v>9.3000000000000007</v>
      </c>
      <c r="AN31" s="280">
        <v>9.4</v>
      </c>
      <c r="AO31" s="280">
        <v>9.1</v>
      </c>
    </row>
    <row r="32" spans="1:309" ht="15" customHeight="1" x14ac:dyDescent="0.25">
      <c r="A32" s="18" t="s">
        <v>111</v>
      </c>
      <c r="B32" s="227">
        <f>('[2]BANCO DE DADOS'!$B$422/'[2]BANCO DE DADOS'!$B$424)*100</f>
        <v>2.1096566268283374</v>
      </c>
      <c r="C32" s="227">
        <v>2.0689833360722236</v>
      </c>
      <c r="D32" s="227">
        <v>1.9409035065276934</v>
      </c>
      <c r="E32" s="227">
        <v>2.0956686002574783</v>
      </c>
      <c r="F32" s="227">
        <v>2.1423392734153568</v>
      </c>
      <c r="G32" s="227">
        <v>2.1765684625049886</v>
      </c>
      <c r="H32" s="227">
        <v>2.1539744876311531</v>
      </c>
      <c r="I32" s="370">
        <v>2.0796588570335235</v>
      </c>
      <c r="J32" s="227">
        <v>2.1926243821645066</v>
      </c>
      <c r="K32" s="278">
        <v>2.2356158841242175</v>
      </c>
      <c r="L32" s="278">
        <v>2.2111928827079232</v>
      </c>
      <c r="M32" s="278">
        <v>2.2000000000000002</v>
      </c>
      <c r="N32" s="278">
        <v>2.2999999999999998</v>
      </c>
      <c r="O32" s="278">
        <v>2.2999999999999998</v>
      </c>
      <c r="P32" s="278">
        <v>2.2000000000000002</v>
      </c>
      <c r="Q32" s="278">
        <v>2.1</v>
      </c>
      <c r="R32" s="278">
        <v>2.2999999999999998</v>
      </c>
      <c r="S32" s="278">
        <v>2.4</v>
      </c>
      <c r="T32" s="278">
        <v>2.2999999999999998</v>
      </c>
      <c r="U32" s="278">
        <v>2.2000000000000002</v>
      </c>
      <c r="V32" s="278">
        <v>2.4</v>
      </c>
      <c r="W32" s="278">
        <v>2.5</v>
      </c>
      <c r="X32" s="278">
        <v>2.7</v>
      </c>
      <c r="Y32" s="278">
        <v>2.8</v>
      </c>
      <c r="Z32" s="278">
        <v>3.1</v>
      </c>
      <c r="AA32" s="278">
        <v>3.1</v>
      </c>
      <c r="AB32" s="278">
        <v>3.2</v>
      </c>
      <c r="AC32" s="278">
        <v>3.1</v>
      </c>
      <c r="AD32" s="278">
        <v>3.2</v>
      </c>
      <c r="AE32" s="278">
        <v>3.2</v>
      </c>
      <c r="AF32" s="278">
        <v>3.2</v>
      </c>
      <c r="AG32" s="278">
        <v>3.1</v>
      </c>
      <c r="AH32" s="278">
        <v>3.3</v>
      </c>
      <c r="AI32" s="278">
        <v>3.3</v>
      </c>
      <c r="AJ32" s="278">
        <v>3.3</v>
      </c>
      <c r="AK32" s="278">
        <v>3.3</v>
      </c>
      <c r="AL32" s="278">
        <v>3.4</v>
      </c>
      <c r="AM32" s="278">
        <v>3.5</v>
      </c>
      <c r="AN32" s="278">
        <v>3.6</v>
      </c>
      <c r="AO32" s="278">
        <v>3.5</v>
      </c>
      <c r="AP32" s="9"/>
    </row>
    <row r="33" spans="1:309" ht="15" customHeight="1" x14ac:dyDescent="0.25">
      <c r="A33" s="35" t="s">
        <v>114</v>
      </c>
      <c r="B33" s="226">
        <f>('[2]BANCO DE DADOS'!$B$423/'[2]BANCO DE DADOS'!$B$424)*100</f>
        <v>3.5811107135358644</v>
      </c>
      <c r="C33" s="226">
        <v>3.6463880229229471</v>
      </c>
      <c r="D33" s="226">
        <v>3.8091127208637063</v>
      </c>
      <c r="E33" s="226">
        <v>4.3653216759679756</v>
      </c>
      <c r="F33" s="226">
        <v>5.0004611525177172</v>
      </c>
      <c r="G33" s="226">
        <v>5.0609906570021543</v>
      </c>
      <c r="H33" s="226">
        <v>5.0919425316453815</v>
      </c>
      <c r="I33" s="371">
        <v>4.4083000006204909</v>
      </c>
      <c r="J33" s="226">
        <v>5.0185380727649989</v>
      </c>
      <c r="K33" s="280">
        <v>5.1004086890661204</v>
      </c>
      <c r="L33" s="280">
        <v>5.0597367207954536</v>
      </c>
      <c r="M33" s="280">
        <v>4.5</v>
      </c>
      <c r="N33" s="280">
        <v>5</v>
      </c>
      <c r="O33" s="280">
        <v>5.0999999999999996</v>
      </c>
      <c r="P33" s="280">
        <v>5</v>
      </c>
      <c r="Q33" s="280">
        <v>4.5</v>
      </c>
      <c r="R33" s="280">
        <v>5</v>
      </c>
      <c r="S33" s="280">
        <v>5.0999999999999996</v>
      </c>
      <c r="T33" s="280">
        <v>4.9000000000000004</v>
      </c>
      <c r="U33" s="280">
        <v>4.3</v>
      </c>
      <c r="V33" s="280">
        <v>4.7</v>
      </c>
      <c r="W33" s="280">
        <v>4.8</v>
      </c>
      <c r="X33" s="280">
        <v>4.9000000000000004</v>
      </c>
      <c r="Y33" s="280">
        <v>4.5</v>
      </c>
      <c r="Z33" s="280">
        <v>5.0999999999999996</v>
      </c>
      <c r="AA33" s="280">
        <v>5.0999999999999996</v>
      </c>
      <c r="AB33" s="280">
        <v>5.2</v>
      </c>
      <c r="AC33" s="280">
        <v>4.5999999999999996</v>
      </c>
      <c r="AD33" s="280">
        <v>5.0999999999999996</v>
      </c>
      <c r="AE33" s="280">
        <v>5.2</v>
      </c>
      <c r="AF33" s="280">
        <v>5.3</v>
      </c>
      <c r="AG33" s="280">
        <v>4.7</v>
      </c>
      <c r="AH33" s="280">
        <v>5.2</v>
      </c>
      <c r="AI33" s="280">
        <v>5.3</v>
      </c>
      <c r="AJ33" s="280">
        <v>5.3</v>
      </c>
      <c r="AK33" s="280">
        <v>4.7</v>
      </c>
      <c r="AL33" s="280">
        <v>5.3</v>
      </c>
      <c r="AM33" s="280">
        <v>5.4</v>
      </c>
      <c r="AN33" s="280">
        <v>5.4</v>
      </c>
      <c r="AO33" s="280">
        <v>4.8</v>
      </c>
    </row>
    <row r="34" spans="1:309" ht="15" customHeight="1" x14ac:dyDescent="0.25">
      <c r="A34" s="18" t="s">
        <v>113</v>
      </c>
      <c r="B34" s="227">
        <f>SUM(B30:B33)</f>
        <v>99.999999999999986</v>
      </c>
      <c r="C34" s="227">
        <v>99.999999999999986</v>
      </c>
      <c r="D34" s="227">
        <f>SUM(D30:D33)</f>
        <v>100</v>
      </c>
      <c r="E34" s="227">
        <f>SUM(E30:E33)</f>
        <v>100.00000000000001</v>
      </c>
      <c r="F34" s="227">
        <v>100.00000000000001</v>
      </c>
      <c r="G34" s="227">
        <f>SUM(G30:G33)</f>
        <v>99.999999999999986</v>
      </c>
      <c r="H34" s="227">
        <v>99.999999999999986</v>
      </c>
      <c r="I34" s="370">
        <v>99.999999999999986</v>
      </c>
      <c r="J34" s="227">
        <v>100</v>
      </c>
      <c r="K34" s="278">
        <v>100</v>
      </c>
      <c r="L34" s="278">
        <v>100</v>
      </c>
      <c r="M34" s="278">
        <v>100</v>
      </c>
      <c r="N34" s="278">
        <v>100</v>
      </c>
      <c r="O34" s="278">
        <v>100</v>
      </c>
      <c r="P34" s="278">
        <v>100</v>
      </c>
      <c r="Q34" s="278">
        <v>100</v>
      </c>
      <c r="R34" s="278">
        <v>100</v>
      </c>
      <c r="S34" s="278">
        <v>100</v>
      </c>
      <c r="T34" s="278">
        <v>100</v>
      </c>
      <c r="U34" s="278">
        <v>100</v>
      </c>
      <c r="V34" s="278">
        <v>100</v>
      </c>
      <c r="W34" s="278">
        <v>100</v>
      </c>
      <c r="X34" s="278">
        <v>100</v>
      </c>
      <c r="Y34" s="278">
        <v>100</v>
      </c>
      <c r="Z34" s="278">
        <v>100</v>
      </c>
      <c r="AA34" s="278">
        <v>100</v>
      </c>
      <c r="AB34" s="278">
        <v>100</v>
      </c>
      <c r="AC34" s="278">
        <v>100</v>
      </c>
      <c r="AD34" s="278">
        <v>100</v>
      </c>
      <c r="AE34" s="278">
        <v>100</v>
      </c>
      <c r="AF34" s="278">
        <v>100</v>
      </c>
      <c r="AG34" s="278">
        <v>100</v>
      </c>
      <c r="AH34" s="278">
        <v>100</v>
      </c>
      <c r="AI34" s="278">
        <v>100</v>
      </c>
      <c r="AJ34" s="278">
        <v>100</v>
      </c>
      <c r="AK34" s="278">
        <v>100</v>
      </c>
      <c r="AL34" s="278">
        <v>100</v>
      </c>
      <c r="AM34" s="278">
        <v>100</v>
      </c>
      <c r="AN34" s="278">
        <v>100</v>
      </c>
      <c r="AO34" s="278">
        <v>100</v>
      </c>
      <c r="AP34" s="9"/>
    </row>
    <row r="35" spans="1:309" ht="15" customHeight="1" x14ac:dyDescent="0.25">
      <c r="A35" s="35"/>
      <c r="B35" s="35"/>
      <c r="C35" s="35"/>
      <c r="D35" s="35"/>
      <c r="E35" s="35"/>
      <c r="F35" s="226"/>
      <c r="G35" s="226"/>
      <c r="H35" s="226"/>
      <c r="I35" s="371"/>
      <c r="J35" s="226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7"/>
    </row>
    <row r="36" spans="1:309" s="294" customFormat="1" ht="15" customHeight="1" x14ac:dyDescent="0.25">
      <c r="A36" s="170" t="s">
        <v>344</v>
      </c>
      <c r="B36" s="170"/>
      <c r="C36" s="170"/>
      <c r="D36" s="170"/>
      <c r="E36" s="170"/>
      <c r="F36" s="287"/>
      <c r="G36" s="287"/>
      <c r="H36" s="287"/>
      <c r="I36" s="287"/>
      <c r="J36" s="287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117"/>
      <c r="AQ36" s="7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89"/>
      <c r="EZ36" s="289"/>
      <c r="FA36" s="289"/>
      <c r="FB36" s="289"/>
      <c r="FC36" s="289"/>
      <c r="FD36" s="289"/>
      <c r="FE36" s="289"/>
      <c r="FF36" s="289"/>
      <c r="FG36" s="289"/>
      <c r="FH36" s="289"/>
      <c r="FI36" s="289"/>
      <c r="FJ36" s="289"/>
      <c r="FK36" s="289"/>
      <c r="FL36" s="289"/>
      <c r="FM36" s="289"/>
      <c r="FN36" s="289"/>
      <c r="FO36" s="289"/>
      <c r="FP36" s="289"/>
      <c r="FQ36" s="289"/>
      <c r="FR36" s="289"/>
      <c r="FS36" s="289"/>
      <c r="FT36" s="289"/>
      <c r="FU36" s="289"/>
      <c r="FV36" s="289"/>
      <c r="FW36" s="289"/>
      <c r="FX36" s="289"/>
      <c r="FY36" s="289"/>
      <c r="FZ36" s="289"/>
      <c r="GA36" s="289"/>
      <c r="GB36" s="289"/>
      <c r="GC36" s="289"/>
      <c r="GD36" s="289"/>
      <c r="GE36" s="289"/>
      <c r="GF36" s="289"/>
      <c r="GG36" s="289"/>
      <c r="GH36" s="289"/>
      <c r="GI36" s="289"/>
      <c r="GJ36" s="289"/>
      <c r="GK36" s="289"/>
      <c r="GL36" s="289"/>
      <c r="GM36" s="289"/>
      <c r="GN36" s="289"/>
      <c r="GO36" s="289"/>
      <c r="GP36" s="289"/>
      <c r="GQ36" s="289"/>
      <c r="GR36" s="289"/>
      <c r="GS36" s="289"/>
      <c r="GT36" s="289"/>
      <c r="GU36" s="289"/>
      <c r="GV36" s="289"/>
      <c r="GW36" s="289"/>
      <c r="GX36" s="289"/>
      <c r="GY36" s="289"/>
      <c r="GZ36" s="289"/>
      <c r="HA36" s="289"/>
      <c r="HB36" s="289"/>
      <c r="HC36" s="289"/>
      <c r="HD36" s="289"/>
      <c r="HE36" s="289"/>
      <c r="HF36" s="289"/>
      <c r="HG36" s="289"/>
      <c r="HH36" s="289"/>
      <c r="HI36" s="289"/>
      <c r="HJ36" s="289"/>
      <c r="HK36" s="289"/>
      <c r="HL36" s="289"/>
      <c r="HM36" s="289"/>
      <c r="HN36" s="289"/>
      <c r="HO36" s="289"/>
      <c r="HP36" s="289"/>
      <c r="HQ36" s="289"/>
      <c r="HR36" s="289"/>
      <c r="HS36" s="289"/>
      <c r="HT36" s="289"/>
      <c r="HU36" s="289"/>
      <c r="HV36" s="289"/>
      <c r="HW36" s="289"/>
      <c r="HX36" s="289"/>
      <c r="HY36" s="289"/>
      <c r="HZ36" s="289"/>
      <c r="IA36" s="289"/>
      <c r="IB36" s="289"/>
      <c r="IC36" s="289"/>
      <c r="ID36" s="289"/>
      <c r="IE36" s="289"/>
      <c r="IF36" s="289"/>
      <c r="IG36" s="289"/>
      <c r="IH36" s="289"/>
      <c r="II36" s="289"/>
      <c r="IJ36" s="289"/>
      <c r="IK36" s="289"/>
      <c r="IL36" s="289"/>
      <c r="IM36" s="289"/>
      <c r="IN36" s="289"/>
      <c r="IO36" s="289"/>
      <c r="IP36" s="289"/>
      <c r="IQ36" s="289"/>
      <c r="IR36" s="289"/>
      <c r="IS36" s="289"/>
      <c r="IT36" s="289"/>
      <c r="IU36" s="289"/>
      <c r="IV36" s="289"/>
      <c r="IW36" s="289"/>
      <c r="IX36" s="289"/>
      <c r="IY36" s="289"/>
      <c r="IZ36" s="289"/>
      <c r="JA36" s="289"/>
      <c r="JB36" s="289"/>
      <c r="JC36" s="289"/>
      <c r="JD36" s="289"/>
      <c r="JE36" s="289"/>
      <c r="JF36" s="289"/>
      <c r="JG36" s="289"/>
      <c r="JH36" s="289"/>
      <c r="JI36" s="289"/>
      <c r="JJ36" s="289"/>
      <c r="JK36" s="289"/>
      <c r="JL36" s="289"/>
      <c r="JM36" s="289"/>
      <c r="JN36" s="289"/>
      <c r="JO36" s="289"/>
      <c r="JP36" s="289"/>
      <c r="JQ36" s="289"/>
      <c r="JR36" s="289"/>
      <c r="JS36" s="289"/>
      <c r="JT36" s="289"/>
      <c r="JU36" s="289"/>
      <c r="JV36" s="289"/>
      <c r="JW36" s="289"/>
      <c r="JX36" s="289"/>
      <c r="JY36" s="289"/>
      <c r="JZ36" s="289"/>
      <c r="KA36" s="289"/>
      <c r="KB36" s="289"/>
      <c r="KC36" s="289"/>
      <c r="KD36" s="289"/>
      <c r="KE36" s="289"/>
      <c r="KF36" s="289"/>
      <c r="KG36" s="289"/>
      <c r="KH36" s="289"/>
      <c r="KI36" s="289"/>
      <c r="KJ36" s="289"/>
      <c r="KK36" s="289"/>
      <c r="KL36" s="289"/>
      <c r="KM36" s="289"/>
      <c r="KN36" s="289"/>
      <c r="KO36" s="289"/>
      <c r="KP36" s="289"/>
      <c r="KQ36" s="289"/>
      <c r="KR36" s="289"/>
      <c r="KS36" s="289"/>
      <c r="KT36" s="289"/>
      <c r="KU36" s="289"/>
      <c r="KV36" s="289"/>
      <c r="KW36" s="289"/>
    </row>
    <row r="37" spans="1:309" ht="15" customHeight="1" x14ac:dyDescent="0.25">
      <c r="A37" s="37"/>
      <c r="B37" s="37"/>
      <c r="C37" s="37"/>
      <c r="D37" s="37"/>
      <c r="E37" s="37"/>
      <c r="F37" s="372"/>
      <c r="G37" s="372"/>
      <c r="H37" s="372"/>
      <c r="I37" s="372"/>
      <c r="J37" s="372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</row>
    <row r="38" spans="1:309" ht="15" customHeight="1" x14ac:dyDescent="0.25">
      <c r="A38" s="18" t="s">
        <v>109</v>
      </c>
      <c r="B38" s="227">
        <f>(('[2]BANCO DE DADOS'!$B$460+'[2]BANCO DE DADOS'!$B$461)/'[2]BANCO DE DADOS'!$B$465)*100</f>
        <v>86.185240262320107</v>
      </c>
      <c r="C38" s="227">
        <f>(('[3]BANCO DE DADOS'!$B$460+'[3]BANCO DE DADOS'!$B$461)/'[3]BANCO DE DADOS'!$B$465)*100</f>
        <v>86.721079323062611</v>
      </c>
      <c r="D38" s="227">
        <v>86.735406085830363</v>
      </c>
      <c r="E38" s="227">
        <v>84.183420049365395</v>
      </c>
      <c r="F38" s="227">
        <v>83.360943019863754</v>
      </c>
      <c r="G38" s="227">
        <v>83.311289287555724</v>
      </c>
      <c r="H38" s="227">
        <v>83.348676495146137</v>
      </c>
      <c r="I38" s="370">
        <v>84.235942157345562</v>
      </c>
      <c r="J38" s="227">
        <v>70.043463768427443</v>
      </c>
      <c r="K38" s="278">
        <v>83.170590355862146</v>
      </c>
      <c r="L38" s="278">
        <v>83.323476708455885</v>
      </c>
      <c r="M38" s="278">
        <v>84</v>
      </c>
      <c r="N38" s="278">
        <v>83.4</v>
      </c>
      <c r="O38" s="278">
        <v>83.2</v>
      </c>
      <c r="P38" s="278">
        <v>83.3</v>
      </c>
      <c r="Q38" s="278">
        <v>84</v>
      </c>
      <c r="R38" s="278">
        <v>83.3</v>
      </c>
      <c r="S38" s="278">
        <v>82.9</v>
      </c>
      <c r="T38" s="278">
        <v>82.8</v>
      </c>
      <c r="U38" s="278">
        <v>83.2</v>
      </c>
      <c r="V38" s="278">
        <v>82.5</v>
      </c>
      <c r="W38" s="278">
        <v>82.1</v>
      </c>
      <c r="X38" s="278">
        <v>81.8</v>
      </c>
      <c r="Y38" s="278">
        <v>82.2</v>
      </c>
      <c r="Z38" s="278">
        <v>81.099999999999994</v>
      </c>
      <c r="AA38" s="278">
        <v>81.3</v>
      </c>
      <c r="AB38" s="278">
        <v>81</v>
      </c>
      <c r="AC38" s="278">
        <v>81.900000000000006</v>
      </c>
      <c r="AD38" s="278">
        <v>81</v>
      </c>
      <c r="AE38" s="278">
        <v>80.7</v>
      </c>
      <c r="AF38" s="278">
        <v>80.599999999999994</v>
      </c>
      <c r="AG38" s="278">
        <v>81.400000000000006</v>
      </c>
      <c r="AH38" s="278">
        <v>80.7</v>
      </c>
      <c r="AI38" s="278">
        <v>80.400000000000006</v>
      </c>
      <c r="AJ38" s="278">
        <v>80.400000000000006</v>
      </c>
      <c r="AK38" s="278">
        <v>81</v>
      </c>
      <c r="AL38" s="278">
        <v>80.400000000000006</v>
      </c>
      <c r="AM38" s="278">
        <v>80.400000000000006</v>
      </c>
      <c r="AN38" s="278">
        <v>80.3</v>
      </c>
      <c r="AO38" s="278">
        <v>80.900000000000006</v>
      </c>
      <c r="AP38" s="9"/>
    </row>
    <row r="39" spans="1:309" ht="15" customHeight="1" x14ac:dyDescent="0.25">
      <c r="A39" s="35" t="s">
        <v>110</v>
      </c>
      <c r="B39" s="226">
        <f>('[2]BANCO DE DADOS'!$B$462/'[2]BANCO DE DADOS'!$B$465)*100</f>
        <v>8.2878304895290391</v>
      </c>
      <c r="C39" s="226">
        <f>('[3]BANCO DE DADOS'!$B$462/'[3]BANCO DE DADOS'!$B$465)*100</f>
        <v>7.734605681991007</v>
      </c>
      <c r="D39" s="226">
        <v>7.5760483556676199</v>
      </c>
      <c r="E39" s="226">
        <v>9.3758612209019994</v>
      </c>
      <c r="F39" s="226">
        <v>9.5903073690022271</v>
      </c>
      <c r="G39" s="226">
        <v>9.5937233229025338</v>
      </c>
      <c r="H39" s="226">
        <v>9.5290084392505037</v>
      </c>
      <c r="I39" s="371">
        <v>9.2692213831932637</v>
      </c>
      <c r="J39" s="226">
        <v>16.900914107393763</v>
      </c>
      <c r="K39" s="280">
        <v>9.60384192491588</v>
      </c>
      <c r="L39" s="280">
        <v>9.4929421751428542</v>
      </c>
      <c r="M39" s="280">
        <v>9.4</v>
      </c>
      <c r="N39" s="280">
        <v>9.6</v>
      </c>
      <c r="O39" s="280">
        <v>9.6999999999999993</v>
      </c>
      <c r="P39" s="280">
        <v>9.6999999999999993</v>
      </c>
      <c r="Q39" s="280">
        <v>9.5</v>
      </c>
      <c r="R39" s="280">
        <v>9.6</v>
      </c>
      <c r="S39" s="280">
        <v>9.8000000000000007</v>
      </c>
      <c r="T39" s="280">
        <v>10.3</v>
      </c>
      <c r="U39" s="280">
        <v>10.4</v>
      </c>
      <c r="V39" s="280">
        <v>10.6</v>
      </c>
      <c r="W39" s="280">
        <v>10.9</v>
      </c>
      <c r="X39" s="280">
        <v>11</v>
      </c>
      <c r="Y39" s="280">
        <v>10.7</v>
      </c>
      <c r="Z39" s="280">
        <v>11</v>
      </c>
      <c r="AA39" s="280">
        <v>11</v>
      </c>
      <c r="AB39" s="280">
        <v>11.1</v>
      </c>
      <c r="AC39" s="280">
        <v>10.9</v>
      </c>
      <c r="AD39" s="280">
        <v>11.3</v>
      </c>
      <c r="AE39" s="280">
        <v>11.4</v>
      </c>
      <c r="AF39" s="280">
        <v>11.4</v>
      </c>
      <c r="AG39" s="280">
        <v>11.2</v>
      </c>
      <c r="AH39" s="280">
        <v>11.3</v>
      </c>
      <c r="AI39" s="280">
        <v>11.6</v>
      </c>
      <c r="AJ39" s="280">
        <v>11.6</v>
      </c>
      <c r="AK39" s="280">
        <v>11.4</v>
      </c>
      <c r="AL39" s="280">
        <v>11.5</v>
      </c>
      <c r="AM39" s="280">
        <v>11.5</v>
      </c>
      <c r="AN39" s="280">
        <v>11.4</v>
      </c>
      <c r="AO39" s="280">
        <v>11.3</v>
      </c>
    </row>
    <row r="40" spans="1:309" ht="15" customHeight="1" x14ac:dyDescent="0.25">
      <c r="A40" s="18" t="s">
        <v>111</v>
      </c>
      <c r="B40" s="227">
        <f>('[2]BANCO DE DADOS'!$B$463/'[2]BANCO DE DADOS'!$B$465)*100</f>
        <v>1.9075136221177931</v>
      </c>
      <c r="C40" s="227">
        <f>('[3]BANCO DE DADOS'!$B$463/'[3]BANCO DE DADOS'!$B$465)*100</f>
        <v>1.8689441084395833</v>
      </c>
      <c r="D40" s="227">
        <v>1.7956441127356733</v>
      </c>
      <c r="E40" s="227">
        <v>1.95840683868771</v>
      </c>
      <c r="F40" s="227">
        <v>1.9716867677771823</v>
      </c>
      <c r="G40" s="227">
        <v>2.0166949594734143</v>
      </c>
      <c r="H40" s="227">
        <v>1.9848968072093698</v>
      </c>
      <c r="I40" s="370">
        <v>1.9443564202250463</v>
      </c>
      <c r="J40" s="227">
        <v>3.8937454092722299</v>
      </c>
      <c r="K40" s="278">
        <v>2.0709636974534407</v>
      </c>
      <c r="L40" s="278">
        <v>2.0219327582942848</v>
      </c>
      <c r="M40" s="278">
        <v>2</v>
      </c>
      <c r="N40" s="278">
        <v>2</v>
      </c>
      <c r="O40" s="278">
        <v>2</v>
      </c>
      <c r="P40" s="278">
        <v>2</v>
      </c>
      <c r="Q40" s="278">
        <v>2</v>
      </c>
      <c r="R40" s="278">
        <v>2.1</v>
      </c>
      <c r="S40" s="278">
        <v>2.2000000000000002</v>
      </c>
      <c r="T40" s="278">
        <v>2.1</v>
      </c>
      <c r="U40" s="278">
        <v>2.1</v>
      </c>
      <c r="V40" s="278">
        <v>2.2000000000000002</v>
      </c>
      <c r="W40" s="278">
        <v>2.2999999999999998</v>
      </c>
      <c r="X40" s="278">
        <v>2.5</v>
      </c>
      <c r="Y40" s="278">
        <v>2.6</v>
      </c>
      <c r="Z40" s="278">
        <v>2.9</v>
      </c>
      <c r="AA40" s="278">
        <v>2.9</v>
      </c>
      <c r="AB40" s="278">
        <v>3</v>
      </c>
      <c r="AC40" s="278">
        <v>2.9</v>
      </c>
      <c r="AD40" s="278">
        <v>2.9</v>
      </c>
      <c r="AE40" s="278">
        <v>2.9</v>
      </c>
      <c r="AF40" s="278">
        <v>3.1</v>
      </c>
      <c r="AG40" s="278">
        <v>2.9</v>
      </c>
      <c r="AH40" s="278">
        <v>3</v>
      </c>
      <c r="AI40" s="278">
        <v>3.1</v>
      </c>
      <c r="AJ40" s="278">
        <v>3.1</v>
      </c>
      <c r="AK40" s="278">
        <v>3.2</v>
      </c>
      <c r="AL40" s="278">
        <v>3.1</v>
      </c>
      <c r="AM40" s="278">
        <v>3.2</v>
      </c>
      <c r="AN40" s="278">
        <v>3.2</v>
      </c>
      <c r="AO40" s="278">
        <v>3.3</v>
      </c>
      <c r="AP40" s="9"/>
    </row>
    <row r="41" spans="1:309" ht="15" customHeight="1" x14ac:dyDescent="0.25">
      <c r="A41" s="35" t="s">
        <v>114</v>
      </c>
      <c r="B41" s="226">
        <f>('[2]BANCO DE DADOS'!$B$464/'[2]BANCO DE DADOS'!$B$465)*100</f>
        <v>3.6194156260330748</v>
      </c>
      <c r="C41" s="226">
        <f>('[3]BANCO DE DADOS'!$B$464/'[3]BANCO DE DADOS'!$B$465)*100</f>
        <v>3.6753708865067916</v>
      </c>
      <c r="D41" s="226">
        <v>3.8929014457663413</v>
      </c>
      <c r="E41" s="226">
        <v>4.4823118910449198</v>
      </c>
      <c r="F41" s="226">
        <v>5.077062843356849</v>
      </c>
      <c r="G41" s="226">
        <v>5.0782924300683314</v>
      </c>
      <c r="H41" s="226">
        <v>5.1374182583939865</v>
      </c>
      <c r="I41" s="371">
        <v>4.5504800392361329</v>
      </c>
      <c r="J41" s="226">
        <v>9.1618767149065619</v>
      </c>
      <c r="K41" s="280">
        <v>5.1546040217685416</v>
      </c>
      <c r="L41" s="280">
        <v>5.1616483581069978</v>
      </c>
      <c r="M41" s="280">
        <v>4.5999999999999996</v>
      </c>
      <c r="N41" s="280">
        <v>5</v>
      </c>
      <c r="O41" s="280">
        <v>5.0999999999999996</v>
      </c>
      <c r="P41" s="280">
        <v>5</v>
      </c>
      <c r="Q41" s="280">
        <v>4.5999999999999996</v>
      </c>
      <c r="R41" s="280">
        <v>5</v>
      </c>
      <c r="S41" s="280">
        <v>5.0999999999999996</v>
      </c>
      <c r="T41" s="280">
        <v>4.9000000000000004</v>
      </c>
      <c r="U41" s="280">
        <v>4.3</v>
      </c>
      <c r="V41" s="280">
        <v>4.7</v>
      </c>
      <c r="W41" s="280">
        <v>4.7</v>
      </c>
      <c r="X41" s="280">
        <v>4.8</v>
      </c>
      <c r="Y41" s="280">
        <v>4.5</v>
      </c>
      <c r="Z41" s="280">
        <v>5</v>
      </c>
      <c r="AA41" s="280">
        <v>4.9000000000000004</v>
      </c>
      <c r="AB41" s="280">
        <v>4.9000000000000004</v>
      </c>
      <c r="AC41" s="280">
        <v>4.4000000000000004</v>
      </c>
      <c r="AD41" s="280">
        <v>4.8</v>
      </c>
      <c r="AE41" s="280">
        <v>4.9000000000000004</v>
      </c>
      <c r="AF41" s="280">
        <v>5</v>
      </c>
      <c r="AG41" s="280">
        <v>4.5</v>
      </c>
      <c r="AH41" s="280">
        <v>4.9000000000000004</v>
      </c>
      <c r="AI41" s="280">
        <v>4.9000000000000004</v>
      </c>
      <c r="AJ41" s="280">
        <v>4.9000000000000004</v>
      </c>
      <c r="AK41" s="280">
        <v>4.5</v>
      </c>
      <c r="AL41" s="280">
        <v>4.9000000000000004</v>
      </c>
      <c r="AM41" s="280">
        <v>5</v>
      </c>
      <c r="AN41" s="280">
        <v>5.0999999999999996</v>
      </c>
      <c r="AO41" s="280">
        <v>4.5</v>
      </c>
    </row>
    <row r="42" spans="1:309" ht="15" customHeight="1" x14ac:dyDescent="0.25">
      <c r="A42" s="18" t="s">
        <v>113</v>
      </c>
      <c r="B42" s="227">
        <f>SUM(B38:B41)</f>
        <v>100.00000000000001</v>
      </c>
      <c r="C42" s="227">
        <f>SUM(C38:C41)</f>
        <v>100</v>
      </c>
      <c r="D42" s="227">
        <f>SUM(D38:D41)</f>
        <v>100</v>
      </c>
      <c r="E42" s="227">
        <f>SUM(E38:E41)</f>
        <v>100.00000000000001</v>
      </c>
      <c r="F42" s="227">
        <v>100.00000000000003</v>
      </c>
      <c r="G42" s="227">
        <f>SUM(G38:G41)</f>
        <v>100</v>
      </c>
      <c r="H42" s="227">
        <v>100</v>
      </c>
      <c r="I42" s="370">
        <v>100.00000000000001</v>
      </c>
      <c r="J42" s="227">
        <v>100</v>
      </c>
      <c r="K42" s="278">
        <v>100.00000000000003</v>
      </c>
      <c r="L42" s="278">
        <v>100.00000000000003</v>
      </c>
      <c r="M42" s="278">
        <v>100</v>
      </c>
      <c r="N42" s="278">
        <v>100</v>
      </c>
      <c r="O42" s="278">
        <v>100</v>
      </c>
      <c r="P42" s="278">
        <v>100</v>
      </c>
      <c r="Q42" s="278">
        <v>-100</v>
      </c>
      <c r="R42" s="278">
        <v>100</v>
      </c>
      <c r="S42" s="278">
        <v>100</v>
      </c>
      <c r="T42" s="278">
        <v>100</v>
      </c>
      <c r="U42" s="278">
        <v>100</v>
      </c>
      <c r="V42" s="278">
        <v>100</v>
      </c>
      <c r="W42" s="278">
        <v>100</v>
      </c>
      <c r="X42" s="278">
        <v>100</v>
      </c>
      <c r="Y42" s="278">
        <v>100</v>
      </c>
      <c r="Z42" s="278">
        <v>100</v>
      </c>
      <c r="AA42" s="278">
        <v>100</v>
      </c>
      <c r="AB42" s="278">
        <v>100</v>
      </c>
      <c r="AC42" s="278">
        <v>100</v>
      </c>
      <c r="AD42" s="278">
        <v>100</v>
      </c>
      <c r="AE42" s="278">
        <v>100</v>
      </c>
      <c r="AF42" s="278">
        <v>100</v>
      </c>
      <c r="AG42" s="278">
        <v>100</v>
      </c>
      <c r="AH42" s="278">
        <v>100</v>
      </c>
      <c r="AI42" s="278">
        <v>100</v>
      </c>
      <c r="AJ42" s="278">
        <v>100</v>
      </c>
      <c r="AK42" s="278">
        <v>100</v>
      </c>
      <c r="AL42" s="278">
        <v>100</v>
      </c>
      <c r="AM42" s="278">
        <v>100</v>
      </c>
      <c r="AN42" s="278">
        <v>100</v>
      </c>
      <c r="AO42" s="278">
        <v>100</v>
      </c>
      <c r="AP42" s="9"/>
    </row>
    <row r="43" spans="1:309" ht="15" customHeight="1" x14ac:dyDescent="0.25">
      <c r="A43" s="35"/>
      <c r="B43" s="35"/>
      <c r="C43" s="35"/>
      <c r="D43" s="35"/>
      <c r="E43" s="35"/>
      <c r="F43" s="226"/>
      <c r="G43" s="226"/>
      <c r="H43" s="226"/>
      <c r="I43" s="371"/>
      <c r="J43" s="226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7"/>
    </row>
    <row r="44" spans="1:309" s="294" customFormat="1" ht="15" customHeight="1" x14ac:dyDescent="0.25">
      <c r="A44" s="143" t="s">
        <v>412</v>
      </c>
      <c r="B44" s="143"/>
      <c r="C44" s="143"/>
      <c r="D44" s="143"/>
      <c r="E44" s="143"/>
      <c r="F44" s="287"/>
      <c r="G44" s="287"/>
      <c r="H44" s="287"/>
      <c r="I44" s="287"/>
      <c r="J44" s="287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117"/>
      <c r="AQ44" s="7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89"/>
      <c r="CP44" s="289"/>
      <c r="CQ44" s="289"/>
      <c r="CR44" s="289"/>
      <c r="CS44" s="289"/>
      <c r="CT44" s="289"/>
      <c r="CU44" s="289"/>
      <c r="CV44" s="289"/>
      <c r="CW44" s="289"/>
      <c r="CX44" s="289"/>
      <c r="CY44" s="289"/>
      <c r="CZ44" s="289"/>
      <c r="DA44" s="289"/>
      <c r="DB44" s="289"/>
      <c r="DC44" s="289"/>
      <c r="DD44" s="289"/>
      <c r="DE44" s="289"/>
      <c r="DF44" s="289"/>
      <c r="DG44" s="289"/>
      <c r="DH44" s="289"/>
      <c r="DI44" s="289"/>
      <c r="DJ44" s="289"/>
      <c r="DK44" s="289"/>
      <c r="DL44" s="289"/>
      <c r="DM44" s="289"/>
      <c r="DN44" s="289"/>
      <c r="DO44" s="289"/>
      <c r="DP44" s="289"/>
      <c r="DQ44" s="289"/>
      <c r="DR44" s="289"/>
      <c r="DS44" s="289"/>
      <c r="DT44" s="289"/>
      <c r="DU44" s="289"/>
      <c r="DV44" s="289"/>
      <c r="DW44" s="289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89"/>
      <c r="ES44" s="289"/>
      <c r="ET44" s="289"/>
      <c r="EU44" s="289"/>
      <c r="EV44" s="289"/>
      <c r="EW44" s="289"/>
      <c r="EX44" s="289"/>
      <c r="EY44" s="289"/>
      <c r="EZ44" s="289"/>
      <c r="FA44" s="289"/>
      <c r="FB44" s="289"/>
      <c r="FC44" s="289"/>
      <c r="FD44" s="289"/>
      <c r="FE44" s="289"/>
      <c r="FF44" s="289"/>
      <c r="FG44" s="289"/>
      <c r="FH44" s="289"/>
      <c r="FI44" s="289"/>
      <c r="FJ44" s="289"/>
      <c r="FK44" s="289"/>
      <c r="FL44" s="289"/>
      <c r="FM44" s="289"/>
      <c r="FN44" s="289"/>
      <c r="FO44" s="289"/>
      <c r="FP44" s="289"/>
      <c r="FQ44" s="289"/>
      <c r="FR44" s="289"/>
      <c r="FS44" s="289"/>
      <c r="FT44" s="289"/>
      <c r="FU44" s="289"/>
      <c r="FV44" s="289"/>
      <c r="FW44" s="289"/>
      <c r="FX44" s="289"/>
      <c r="FY44" s="289"/>
      <c r="FZ44" s="289"/>
      <c r="GA44" s="289"/>
      <c r="GB44" s="289"/>
      <c r="GC44" s="289"/>
      <c r="GD44" s="289"/>
      <c r="GE44" s="289"/>
      <c r="GF44" s="289"/>
      <c r="GG44" s="289"/>
      <c r="GH44" s="289"/>
      <c r="GI44" s="289"/>
      <c r="GJ44" s="289"/>
      <c r="GK44" s="289"/>
      <c r="GL44" s="289"/>
      <c r="GM44" s="289"/>
      <c r="GN44" s="289"/>
      <c r="GO44" s="289"/>
      <c r="GP44" s="289"/>
      <c r="GQ44" s="289"/>
      <c r="GR44" s="289"/>
      <c r="GS44" s="289"/>
      <c r="GT44" s="289"/>
      <c r="GU44" s="289"/>
      <c r="GV44" s="289"/>
      <c r="GW44" s="289"/>
      <c r="GX44" s="289"/>
      <c r="GY44" s="289"/>
      <c r="GZ44" s="289"/>
      <c r="HA44" s="289"/>
      <c r="HB44" s="289"/>
      <c r="HC44" s="289"/>
      <c r="HD44" s="289"/>
      <c r="HE44" s="289"/>
      <c r="HF44" s="289"/>
      <c r="HG44" s="289"/>
      <c r="HH44" s="289"/>
      <c r="HI44" s="289"/>
      <c r="HJ44" s="289"/>
      <c r="HK44" s="289"/>
      <c r="HL44" s="289"/>
      <c r="HM44" s="289"/>
      <c r="HN44" s="289"/>
      <c r="HO44" s="289"/>
      <c r="HP44" s="289"/>
      <c r="HQ44" s="289"/>
      <c r="HR44" s="289"/>
      <c r="HS44" s="289"/>
      <c r="HT44" s="289"/>
      <c r="HU44" s="289"/>
      <c r="HV44" s="289"/>
      <c r="HW44" s="289"/>
      <c r="HX44" s="289"/>
      <c r="HY44" s="289"/>
      <c r="HZ44" s="289"/>
      <c r="IA44" s="289"/>
      <c r="IB44" s="289"/>
      <c r="IC44" s="289"/>
      <c r="ID44" s="289"/>
      <c r="IE44" s="289"/>
      <c r="IF44" s="289"/>
      <c r="IG44" s="289"/>
      <c r="IH44" s="289"/>
      <c r="II44" s="289"/>
      <c r="IJ44" s="289"/>
      <c r="IK44" s="289"/>
      <c r="IL44" s="289"/>
      <c r="IM44" s="289"/>
      <c r="IN44" s="289"/>
      <c r="IO44" s="289"/>
      <c r="IP44" s="289"/>
      <c r="IQ44" s="289"/>
      <c r="IR44" s="289"/>
      <c r="IS44" s="289"/>
      <c r="IT44" s="289"/>
      <c r="IU44" s="289"/>
      <c r="IV44" s="289"/>
      <c r="IW44" s="289"/>
      <c r="IX44" s="289"/>
      <c r="IY44" s="289"/>
      <c r="IZ44" s="289"/>
      <c r="JA44" s="289"/>
      <c r="JB44" s="289"/>
      <c r="JC44" s="289"/>
      <c r="JD44" s="289"/>
      <c r="JE44" s="289"/>
      <c r="JF44" s="289"/>
      <c r="JG44" s="289"/>
      <c r="JH44" s="289"/>
      <c r="JI44" s="289"/>
      <c r="JJ44" s="289"/>
      <c r="JK44" s="289"/>
      <c r="JL44" s="289"/>
      <c r="JM44" s="289"/>
      <c r="JN44" s="289"/>
      <c r="JO44" s="289"/>
      <c r="JP44" s="289"/>
      <c r="JQ44" s="289"/>
      <c r="JR44" s="289"/>
      <c r="JS44" s="289"/>
      <c r="JT44" s="289"/>
      <c r="JU44" s="289"/>
      <c r="JV44" s="289"/>
      <c r="JW44" s="289"/>
      <c r="JX44" s="289"/>
      <c r="JY44" s="289"/>
      <c r="JZ44" s="289"/>
      <c r="KA44" s="289"/>
      <c r="KB44" s="289"/>
      <c r="KC44" s="289"/>
      <c r="KD44" s="289"/>
      <c r="KE44" s="289"/>
      <c r="KF44" s="289"/>
      <c r="KG44" s="289"/>
      <c r="KH44" s="289"/>
      <c r="KI44" s="289"/>
      <c r="KJ44" s="289"/>
      <c r="KK44" s="289"/>
      <c r="KL44" s="289"/>
      <c r="KM44" s="289"/>
      <c r="KN44" s="289"/>
      <c r="KO44" s="289"/>
      <c r="KP44" s="289"/>
      <c r="KQ44" s="289"/>
      <c r="KR44" s="289"/>
      <c r="KS44" s="289"/>
      <c r="KT44" s="289"/>
      <c r="KU44" s="289"/>
      <c r="KV44" s="289"/>
      <c r="KW44" s="289"/>
    </row>
    <row r="45" spans="1:309" s="294" customFormat="1" ht="15" customHeight="1" x14ac:dyDescent="0.25">
      <c r="A45" s="143" t="s">
        <v>342</v>
      </c>
      <c r="B45" s="143"/>
      <c r="C45" s="143"/>
      <c r="D45" s="143"/>
      <c r="E45" s="143"/>
      <c r="F45" s="287"/>
      <c r="G45" s="287"/>
      <c r="H45" s="287"/>
      <c r="I45" s="287"/>
      <c r="J45" s="287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117"/>
      <c r="AQ45" s="7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89"/>
      <c r="DI45" s="289"/>
      <c r="DJ45" s="289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  <c r="EE45" s="289"/>
      <c r="EF45" s="289"/>
      <c r="EG45" s="289"/>
      <c r="EH45" s="289"/>
      <c r="EI45" s="289"/>
      <c r="EJ45" s="289"/>
      <c r="EK45" s="289"/>
      <c r="EL45" s="289"/>
      <c r="EM45" s="289"/>
      <c r="EN45" s="289"/>
      <c r="EO45" s="289"/>
      <c r="EP45" s="289"/>
      <c r="EQ45" s="289"/>
      <c r="ER45" s="289"/>
      <c r="ES45" s="289"/>
      <c r="ET45" s="289"/>
      <c r="EU45" s="289"/>
      <c r="EV45" s="289"/>
      <c r="EW45" s="289"/>
      <c r="EX45" s="289"/>
      <c r="EY45" s="289"/>
      <c r="EZ45" s="289"/>
      <c r="FA45" s="289"/>
      <c r="FB45" s="289"/>
      <c r="FC45" s="289"/>
      <c r="FD45" s="289"/>
      <c r="FE45" s="289"/>
      <c r="FF45" s="289"/>
      <c r="FG45" s="289"/>
      <c r="FH45" s="289"/>
      <c r="FI45" s="289"/>
      <c r="FJ45" s="289"/>
      <c r="FK45" s="289"/>
      <c r="FL45" s="289"/>
      <c r="FM45" s="289"/>
      <c r="FN45" s="289"/>
      <c r="FO45" s="289"/>
      <c r="FP45" s="289"/>
      <c r="FQ45" s="289"/>
      <c r="FR45" s="289"/>
      <c r="FS45" s="289"/>
      <c r="FT45" s="289"/>
      <c r="FU45" s="289"/>
      <c r="FV45" s="289"/>
      <c r="FW45" s="289"/>
      <c r="FX45" s="289"/>
      <c r="FY45" s="289"/>
      <c r="FZ45" s="289"/>
      <c r="GA45" s="289"/>
      <c r="GB45" s="289"/>
      <c r="GC45" s="289"/>
      <c r="GD45" s="289"/>
      <c r="GE45" s="289"/>
      <c r="GF45" s="289"/>
      <c r="GG45" s="289"/>
      <c r="GH45" s="289"/>
      <c r="GI45" s="289"/>
      <c r="GJ45" s="289"/>
      <c r="GK45" s="289"/>
      <c r="GL45" s="289"/>
      <c r="GM45" s="289"/>
      <c r="GN45" s="289"/>
      <c r="GO45" s="289"/>
      <c r="GP45" s="289"/>
      <c r="GQ45" s="289"/>
      <c r="GR45" s="289"/>
      <c r="GS45" s="289"/>
      <c r="GT45" s="289"/>
      <c r="GU45" s="289"/>
      <c r="GV45" s="289"/>
      <c r="GW45" s="289"/>
      <c r="GX45" s="289"/>
      <c r="GY45" s="289"/>
      <c r="GZ45" s="289"/>
      <c r="HA45" s="289"/>
      <c r="HB45" s="289"/>
      <c r="HC45" s="289"/>
      <c r="HD45" s="289"/>
      <c r="HE45" s="289"/>
      <c r="HF45" s="289"/>
      <c r="HG45" s="289"/>
      <c r="HH45" s="289"/>
      <c r="HI45" s="289"/>
      <c r="HJ45" s="289"/>
      <c r="HK45" s="289"/>
      <c r="HL45" s="289"/>
      <c r="HM45" s="289"/>
      <c r="HN45" s="289"/>
      <c r="HO45" s="289"/>
      <c r="HP45" s="289"/>
      <c r="HQ45" s="289"/>
      <c r="HR45" s="289"/>
      <c r="HS45" s="289"/>
      <c r="HT45" s="289"/>
      <c r="HU45" s="289"/>
      <c r="HV45" s="289"/>
      <c r="HW45" s="289"/>
      <c r="HX45" s="289"/>
      <c r="HY45" s="289"/>
      <c r="HZ45" s="289"/>
      <c r="IA45" s="289"/>
      <c r="IB45" s="289"/>
      <c r="IC45" s="289"/>
      <c r="ID45" s="289"/>
      <c r="IE45" s="289"/>
      <c r="IF45" s="289"/>
      <c r="IG45" s="289"/>
      <c r="IH45" s="289"/>
      <c r="II45" s="289"/>
      <c r="IJ45" s="289"/>
      <c r="IK45" s="289"/>
      <c r="IL45" s="289"/>
      <c r="IM45" s="289"/>
      <c r="IN45" s="289"/>
      <c r="IO45" s="289"/>
      <c r="IP45" s="289"/>
      <c r="IQ45" s="289"/>
      <c r="IR45" s="289"/>
      <c r="IS45" s="289"/>
      <c r="IT45" s="289"/>
      <c r="IU45" s="289"/>
      <c r="IV45" s="289"/>
      <c r="IW45" s="289"/>
      <c r="IX45" s="289"/>
      <c r="IY45" s="289"/>
      <c r="IZ45" s="289"/>
      <c r="JA45" s="289"/>
      <c r="JB45" s="289"/>
      <c r="JC45" s="289"/>
      <c r="JD45" s="289"/>
      <c r="JE45" s="289"/>
      <c r="JF45" s="289"/>
      <c r="JG45" s="289"/>
      <c r="JH45" s="289"/>
      <c r="JI45" s="289"/>
      <c r="JJ45" s="289"/>
      <c r="JK45" s="289"/>
      <c r="JL45" s="289"/>
      <c r="JM45" s="289"/>
      <c r="JN45" s="289"/>
      <c r="JO45" s="289"/>
      <c r="JP45" s="289"/>
      <c r="JQ45" s="289"/>
      <c r="JR45" s="289"/>
      <c r="JS45" s="289"/>
      <c r="JT45" s="289"/>
      <c r="JU45" s="289"/>
      <c r="JV45" s="289"/>
      <c r="JW45" s="289"/>
      <c r="JX45" s="289"/>
      <c r="JY45" s="289"/>
      <c r="JZ45" s="289"/>
      <c r="KA45" s="289"/>
      <c r="KB45" s="289"/>
      <c r="KC45" s="289"/>
      <c r="KD45" s="289"/>
      <c r="KE45" s="289"/>
      <c r="KF45" s="289"/>
      <c r="KG45" s="289"/>
      <c r="KH45" s="289"/>
      <c r="KI45" s="289"/>
      <c r="KJ45" s="289"/>
      <c r="KK45" s="289"/>
      <c r="KL45" s="289"/>
      <c r="KM45" s="289"/>
      <c r="KN45" s="289"/>
      <c r="KO45" s="289"/>
      <c r="KP45" s="289"/>
      <c r="KQ45" s="289"/>
      <c r="KR45" s="289"/>
      <c r="KS45" s="289"/>
      <c r="KT45" s="289"/>
      <c r="KU45" s="289"/>
      <c r="KV45" s="289"/>
      <c r="KW45" s="289"/>
    </row>
    <row r="46" spans="1:309" s="293" customFormat="1" ht="15" customHeight="1" x14ac:dyDescent="0.25">
      <c r="A46" s="36"/>
      <c r="B46" s="36"/>
      <c r="C46" s="36"/>
      <c r="D46" s="36"/>
      <c r="E46" s="36"/>
      <c r="F46" s="369"/>
      <c r="G46" s="369"/>
      <c r="H46" s="369"/>
      <c r="I46" s="369"/>
      <c r="J46" s="369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6"/>
      <c r="AQ46" s="7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  <c r="CX46" s="289"/>
      <c r="CY46" s="289"/>
      <c r="CZ46" s="289"/>
      <c r="DA46" s="289"/>
      <c r="DB46" s="289"/>
      <c r="DC46" s="289"/>
      <c r="DD46" s="289"/>
      <c r="DE46" s="289"/>
      <c r="DF46" s="289"/>
      <c r="DG46" s="289"/>
      <c r="DH46" s="289"/>
      <c r="DI46" s="289"/>
      <c r="DJ46" s="289"/>
      <c r="DK46" s="289"/>
      <c r="DL46" s="289"/>
      <c r="DM46" s="289"/>
      <c r="DN46" s="289"/>
      <c r="DO46" s="289"/>
      <c r="DP46" s="289"/>
      <c r="DQ46" s="289"/>
      <c r="DR46" s="289"/>
      <c r="DS46" s="289"/>
      <c r="DT46" s="289"/>
      <c r="DU46" s="289"/>
      <c r="DV46" s="289"/>
      <c r="DW46" s="289"/>
      <c r="DX46" s="289"/>
      <c r="DY46" s="289"/>
      <c r="DZ46" s="289"/>
      <c r="EA46" s="289"/>
      <c r="EB46" s="289"/>
      <c r="EC46" s="289"/>
      <c r="ED46" s="289"/>
      <c r="EE46" s="289"/>
      <c r="EF46" s="289"/>
      <c r="EG46" s="289"/>
      <c r="EH46" s="289"/>
      <c r="EI46" s="289"/>
      <c r="EJ46" s="289"/>
      <c r="EK46" s="289"/>
      <c r="EL46" s="289"/>
      <c r="EM46" s="289"/>
      <c r="EN46" s="289"/>
      <c r="EO46" s="289"/>
      <c r="EP46" s="289"/>
      <c r="EQ46" s="289"/>
      <c r="ER46" s="289"/>
      <c r="ES46" s="289"/>
      <c r="ET46" s="289"/>
      <c r="EU46" s="289"/>
      <c r="EV46" s="289"/>
      <c r="EW46" s="289"/>
      <c r="EX46" s="289"/>
      <c r="EY46" s="289"/>
      <c r="EZ46" s="289"/>
      <c r="FA46" s="289"/>
      <c r="FB46" s="289"/>
      <c r="FC46" s="289"/>
      <c r="FD46" s="289"/>
      <c r="FE46" s="289"/>
      <c r="FF46" s="289"/>
      <c r="FG46" s="289"/>
      <c r="FH46" s="289"/>
      <c r="FI46" s="289"/>
      <c r="FJ46" s="289"/>
      <c r="FK46" s="289"/>
      <c r="FL46" s="289"/>
      <c r="FM46" s="289"/>
      <c r="FN46" s="289"/>
      <c r="FO46" s="289"/>
      <c r="FP46" s="289"/>
      <c r="FQ46" s="289"/>
      <c r="FR46" s="289"/>
      <c r="FS46" s="289"/>
      <c r="FT46" s="289"/>
      <c r="FU46" s="289"/>
      <c r="FV46" s="289"/>
      <c r="FW46" s="289"/>
      <c r="FX46" s="289"/>
      <c r="FY46" s="289"/>
      <c r="FZ46" s="289"/>
      <c r="GA46" s="289"/>
      <c r="GB46" s="289"/>
      <c r="GC46" s="289"/>
      <c r="GD46" s="289"/>
      <c r="GE46" s="289"/>
      <c r="GF46" s="289"/>
      <c r="GG46" s="289"/>
      <c r="GH46" s="289"/>
      <c r="GI46" s="289"/>
      <c r="GJ46" s="289"/>
      <c r="GK46" s="289"/>
      <c r="GL46" s="289"/>
      <c r="GM46" s="289"/>
      <c r="GN46" s="289"/>
      <c r="GO46" s="289"/>
      <c r="GP46" s="289"/>
      <c r="GQ46" s="289"/>
      <c r="GR46" s="289"/>
      <c r="GS46" s="289"/>
      <c r="GT46" s="289"/>
      <c r="GU46" s="289"/>
      <c r="GV46" s="289"/>
      <c r="GW46" s="289"/>
      <c r="GX46" s="289"/>
      <c r="GY46" s="289"/>
      <c r="GZ46" s="289"/>
      <c r="HA46" s="289"/>
      <c r="HB46" s="289"/>
      <c r="HC46" s="289"/>
      <c r="HD46" s="289"/>
      <c r="HE46" s="289"/>
      <c r="HF46" s="289"/>
      <c r="HG46" s="289"/>
      <c r="HH46" s="289"/>
      <c r="HI46" s="289"/>
      <c r="HJ46" s="289"/>
      <c r="HK46" s="289"/>
      <c r="HL46" s="289"/>
      <c r="HM46" s="289"/>
      <c r="HN46" s="289"/>
      <c r="HO46" s="289"/>
      <c r="HP46" s="289"/>
      <c r="HQ46" s="289"/>
      <c r="HR46" s="289"/>
      <c r="HS46" s="289"/>
      <c r="HT46" s="289"/>
      <c r="HU46" s="289"/>
      <c r="HV46" s="289"/>
      <c r="HW46" s="289"/>
      <c r="HX46" s="289"/>
      <c r="HY46" s="289"/>
      <c r="HZ46" s="289"/>
      <c r="IA46" s="289"/>
      <c r="IB46" s="289"/>
      <c r="IC46" s="289"/>
      <c r="ID46" s="289"/>
      <c r="IE46" s="289"/>
      <c r="IF46" s="289"/>
      <c r="IG46" s="289"/>
      <c r="IH46" s="289"/>
      <c r="II46" s="289"/>
      <c r="IJ46" s="289"/>
      <c r="IK46" s="289"/>
      <c r="IL46" s="289"/>
      <c r="IM46" s="289"/>
      <c r="IN46" s="289"/>
      <c r="IO46" s="289"/>
      <c r="IP46" s="289"/>
      <c r="IQ46" s="289"/>
      <c r="IR46" s="289"/>
      <c r="IS46" s="289"/>
      <c r="IT46" s="289"/>
      <c r="IU46" s="289"/>
      <c r="IV46" s="289"/>
      <c r="IW46" s="289"/>
      <c r="IX46" s="289"/>
      <c r="IY46" s="289"/>
      <c r="IZ46" s="289"/>
      <c r="JA46" s="289"/>
      <c r="JB46" s="289"/>
      <c r="JC46" s="289"/>
      <c r="JD46" s="289"/>
      <c r="JE46" s="289"/>
      <c r="JF46" s="289"/>
      <c r="JG46" s="289"/>
      <c r="JH46" s="289"/>
      <c r="JI46" s="289"/>
      <c r="JJ46" s="289"/>
      <c r="JK46" s="289"/>
      <c r="JL46" s="289"/>
      <c r="JM46" s="289"/>
      <c r="JN46" s="289"/>
      <c r="JO46" s="289"/>
      <c r="JP46" s="289"/>
      <c r="JQ46" s="289"/>
      <c r="JR46" s="289"/>
      <c r="JS46" s="289"/>
      <c r="JT46" s="289"/>
      <c r="JU46" s="289"/>
      <c r="JV46" s="289"/>
      <c r="JW46" s="289"/>
      <c r="JX46" s="289"/>
      <c r="JY46" s="289"/>
      <c r="JZ46" s="289"/>
      <c r="KA46" s="289"/>
      <c r="KB46" s="289"/>
      <c r="KC46" s="289"/>
      <c r="KD46" s="289"/>
      <c r="KE46" s="289"/>
      <c r="KF46" s="289"/>
      <c r="KG46" s="289"/>
      <c r="KH46" s="289"/>
      <c r="KI46" s="289"/>
      <c r="KJ46" s="289"/>
      <c r="KK46" s="289"/>
      <c r="KL46" s="289"/>
      <c r="KM46" s="289"/>
      <c r="KN46" s="289"/>
      <c r="KO46" s="289"/>
      <c r="KP46" s="289"/>
      <c r="KQ46" s="289"/>
      <c r="KR46" s="289"/>
      <c r="KS46" s="289"/>
      <c r="KT46" s="289"/>
      <c r="KU46" s="289"/>
      <c r="KV46" s="289"/>
      <c r="KW46" s="289"/>
    </row>
    <row r="47" spans="1:309" ht="15" customHeight="1" x14ac:dyDescent="0.25">
      <c r="A47" s="35" t="s">
        <v>109</v>
      </c>
      <c r="B47" s="226">
        <f>(('[2]BANCO DE DADOS'!$B$435+'[2]BANCO DE DADOS'!$B$436)/'[2]BANCO DE DADOS'!$B$441)*100</f>
        <v>89.175651453621583</v>
      </c>
      <c r="C47" s="226">
        <f>(('[3]BANCO DE DADOS'!$B$435+'[3]BANCO DE DADOS'!$B$436)/'[3]BANCO DE DADOS'!$B$441)*100</f>
        <v>89.273516687458638</v>
      </c>
      <c r="D47" s="226">
        <v>89.298804551346691</v>
      </c>
      <c r="E47" s="226">
        <v>89.302563991004703</v>
      </c>
      <c r="F47" s="226">
        <v>89.29585336908788</v>
      </c>
      <c r="G47" s="226">
        <v>89.290052004540343</v>
      </c>
      <c r="H47" s="226">
        <v>89.268850695398712</v>
      </c>
      <c r="I47" s="371">
        <v>89.281519529094439</v>
      </c>
      <c r="J47" s="226">
        <v>89.273745842958647</v>
      </c>
      <c r="K47" s="280">
        <v>89.287413073334037</v>
      </c>
      <c r="L47" s="280">
        <v>89.38549509586278</v>
      </c>
      <c r="M47" s="280">
        <v>89.3</v>
      </c>
      <c r="N47" s="280">
        <v>89.3</v>
      </c>
      <c r="O47" s="280">
        <v>89.3</v>
      </c>
      <c r="P47" s="280">
        <v>89.3</v>
      </c>
      <c r="Q47" s="280">
        <v>89.3</v>
      </c>
      <c r="R47" s="280">
        <v>89.3</v>
      </c>
      <c r="S47" s="280">
        <v>89.3</v>
      </c>
      <c r="T47" s="280">
        <v>89.3</v>
      </c>
      <c r="U47" s="280">
        <v>89.2</v>
      </c>
      <c r="V47" s="280">
        <v>89.2</v>
      </c>
      <c r="W47" s="280">
        <v>89.2</v>
      </c>
      <c r="X47" s="280">
        <v>89.2</v>
      </c>
      <c r="Y47" s="280">
        <v>89.2</v>
      </c>
      <c r="Z47" s="280">
        <v>89.1</v>
      </c>
      <c r="AA47" s="280">
        <v>89.1</v>
      </c>
      <c r="AB47" s="280">
        <v>89.1</v>
      </c>
      <c r="AC47" s="280">
        <v>89.1</v>
      </c>
      <c r="AD47" s="280">
        <v>89.1</v>
      </c>
      <c r="AE47" s="280">
        <v>89.1</v>
      </c>
      <c r="AF47" s="280">
        <v>89.1</v>
      </c>
      <c r="AG47" s="280">
        <v>89.1</v>
      </c>
      <c r="AH47" s="280">
        <v>89.2</v>
      </c>
      <c r="AI47" s="280">
        <v>89.2</v>
      </c>
      <c r="AJ47" s="280">
        <v>89.2</v>
      </c>
      <c r="AK47" s="280">
        <v>89.2</v>
      </c>
      <c r="AL47" s="280">
        <v>89.2</v>
      </c>
      <c r="AM47" s="280">
        <v>89.2</v>
      </c>
      <c r="AN47" s="280">
        <v>89.2</v>
      </c>
      <c r="AO47" s="280">
        <v>89.3</v>
      </c>
    </row>
    <row r="48" spans="1:309" ht="15" customHeight="1" x14ac:dyDescent="0.25">
      <c r="A48" s="18" t="s">
        <v>110</v>
      </c>
      <c r="B48" s="227">
        <f>('[2]BANCO DE DADOS'!$B$437/'[2]BANCO DE DADOS'!$B$441)*100</f>
        <v>6.1192580289026344</v>
      </c>
      <c r="C48" s="227">
        <f>('[3]BANCO DE DADOS'!$B$437/'[3]BANCO DE DADOS'!$B$441)*100</f>
        <v>6.0781739646939075</v>
      </c>
      <c r="D48" s="227">
        <v>6.0552268471842146</v>
      </c>
      <c r="E48" s="227">
        <v>6.0096343410007398</v>
      </c>
      <c r="F48" s="227">
        <v>5.9988225832087823</v>
      </c>
      <c r="G48" s="227">
        <v>6.029095240677611</v>
      </c>
      <c r="H48" s="227">
        <v>6.0054682930610506</v>
      </c>
      <c r="I48" s="370">
        <v>5.9819870573042948</v>
      </c>
      <c r="J48" s="227">
        <v>5.9723103457731748</v>
      </c>
      <c r="K48" s="278">
        <v>5.9592080169083674</v>
      </c>
      <c r="L48" s="278">
        <v>5.8010105602613997</v>
      </c>
      <c r="M48" s="278" t="s">
        <v>32</v>
      </c>
      <c r="N48" s="278">
        <v>5.9</v>
      </c>
      <c r="O48" s="278">
        <v>5.9</v>
      </c>
      <c r="P48" s="278">
        <v>5.9</v>
      </c>
      <c r="Q48" s="278">
        <v>5.8</v>
      </c>
      <c r="R48" s="278">
        <v>5.9</v>
      </c>
      <c r="S48" s="278">
        <v>5.9</v>
      </c>
      <c r="T48" s="278">
        <v>5.9</v>
      </c>
      <c r="U48" s="278">
        <v>5.9</v>
      </c>
      <c r="V48" s="278">
        <v>5.9</v>
      </c>
      <c r="W48" s="278">
        <v>5.9</v>
      </c>
      <c r="X48" s="278">
        <v>5.9</v>
      </c>
      <c r="Y48" s="278">
        <v>5.9</v>
      </c>
      <c r="Z48" s="278">
        <v>5.9</v>
      </c>
      <c r="AA48" s="278">
        <v>5.9</v>
      </c>
      <c r="AB48" s="278">
        <v>5.9</v>
      </c>
      <c r="AC48" s="278">
        <v>6</v>
      </c>
      <c r="AD48" s="278">
        <v>6.1</v>
      </c>
      <c r="AE48" s="278">
        <v>6</v>
      </c>
      <c r="AF48" s="278">
        <v>6</v>
      </c>
      <c r="AG48" s="278">
        <v>6</v>
      </c>
      <c r="AH48" s="278">
        <v>6</v>
      </c>
      <c r="AI48" s="278">
        <v>6</v>
      </c>
      <c r="AJ48" s="278">
        <v>5.9</v>
      </c>
      <c r="AK48" s="278">
        <v>5.9</v>
      </c>
      <c r="AL48" s="278">
        <v>5.9</v>
      </c>
      <c r="AM48" s="278">
        <v>5.8</v>
      </c>
      <c r="AN48" s="278">
        <v>5.7</v>
      </c>
      <c r="AO48" s="278">
        <v>5.7</v>
      </c>
      <c r="AP48" s="9"/>
    </row>
    <row r="49" spans="1:309" ht="15" customHeight="1" x14ac:dyDescent="0.25">
      <c r="A49" s="35" t="s">
        <v>111</v>
      </c>
      <c r="B49" s="226">
        <f>('[2]BANCO DE DADOS'!$B$438/'[2]BANCO DE DADOS'!$B$441)*100</f>
        <v>0.68101676176159176</v>
      </c>
      <c r="C49" s="226">
        <f>('[3]BANCO DE DADOS'!$B$438/'[3]BANCO DE DADOS'!$B$441)*100</f>
        <v>0.67742919647500432</v>
      </c>
      <c r="D49" s="226">
        <v>0.66901339478611555</v>
      </c>
      <c r="E49" s="226">
        <v>0.65858230431972697</v>
      </c>
      <c r="F49" s="226">
        <v>0.66033572068344759</v>
      </c>
      <c r="G49" s="226">
        <v>0.66838269806511696</v>
      </c>
      <c r="H49" s="226">
        <v>0.66594319834072102</v>
      </c>
      <c r="I49" s="371">
        <v>0.66557590097097297</v>
      </c>
      <c r="J49" s="226">
        <v>0.6683652579611421</v>
      </c>
      <c r="K49" s="280">
        <v>0.66668390590129845</v>
      </c>
      <c r="L49" s="280">
        <v>0.7</v>
      </c>
      <c r="M49" s="280">
        <v>0.7</v>
      </c>
      <c r="N49" s="280">
        <v>0.7</v>
      </c>
      <c r="O49" s="280">
        <v>0.7</v>
      </c>
      <c r="P49" s="280">
        <v>0.7</v>
      </c>
      <c r="Q49" s="280">
        <v>0.7</v>
      </c>
      <c r="R49" s="280">
        <v>0.7</v>
      </c>
      <c r="S49" s="280">
        <v>0.7</v>
      </c>
      <c r="T49" s="280">
        <v>0.7</v>
      </c>
      <c r="U49" s="280">
        <v>0.7</v>
      </c>
      <c r="V49" s="280">
        <v>0.7</v>
      </c>
      <c r="W49" s="280">
        <v>0.7</v>
      </c>
      <c r="X49" s="280">
        <v>0.7</v>
      </c>
      <c r="Y49" s="280">
        <v>0.7</v>
      </c>
      <c r="Z49" s="280">
        <v>0.7</v>
      </c>
      <c r="AA49" s="280">
        <v>0.7</v>
      </c>
      <c r="AB49" s="280">
        <v>0.7</v>
      </c>
      <c r="AC49" s="280">
        <v>0.7</v>
      </c>
      <c r="AD49" s="280">
        <v>0.6</v>
      </c>
      <c r="AE49" s="280">
        <v>0.6</v>
      </c>
      <c r="AF49" s="280">
        <v>0.6</v>
      </c>
      <c r="AG49" s="280">
        <v>0.6</v>
      </c>
      <c r="AH49" s="280">
        <v>0.6</v>
      </c>
      <c r="AI49" s="280">
        <v>0.6</v>
      </c>
      <c r="AJ49" s="280">
        <v>0.6</v>
      </c>
      <c r="AK49" s="280">
        <v>0.6</v>
      </c>
      <c r="AL49" s="280">
        <v>0.6</v>
      </c>
      <c r="AM49" s="280">
        <v>0.6</v>
      </c>
      <c r="AN49" s="280">
        <v>0.7</v>
      </c>
      <c r="AO49" s="280">
        <v>0.7</v>
      </c>
    </row>
    <row r="50" spans="1:309" ht="15" customHeight="1" x14ac:dyDescent="0.25">
      <c r="A50" s="18" t="s">
        <v>114</v>
      </c>
      <c r="B50" s="227">
        <f>('[2]BANCO DE DADOS'!$B$439/'[2]BANCO DE DADOS'!$B$441)*100</f>
        <v>1.5233667740633372</v>
      </c>
      <c r="C50" s="227">
        <f>('[3]BANCO DE DADOS'!$B$439/'[3]BANCO DE DADOS'!$B$441)*100</f>
        <v>1.5252710732233716</v>
      </c>
      <c r="D50" s="227">
        <v>1.5358663401987616</v>
      </c>
      <c r="E50" s="227">
        <v>1.5739987908353701</v>
      </c>
      <c r="F50" s="227">
        <v>1.5784615951337078</v>
      </c>
      <c r="G50" s="227">
        <v>1.5487993701859337</v>
      </c>
      <c r="H50" s="227">
        <v>1.5483631529125499</v>
      </c>
      <c r="I50" s="370">
        <v>1.5477819200286769</v>
      </c>
      <c r="J50" s="227">
        <v>1.5510007630895388</v>
      </c>
      <c r="K50" s="278">
        <v>1.5509617476408544</v>
      </c>
      <c r="L50" s="278">
        <v>1.6353049880468737</v>
      </c>
      <c r="M50" s="278">
        <v>1.5</v>
      </c>
      <c r="N50" s="278">
        <v>1.6</v>
      </c>
      <c r="O50" s="278">
        <v>1.6</v>
      </c>
      <c r="P50" s="278">
        <v>1.6</v>
      </c>
      <c r="Q50" s="278">
        <v>1.6</v>
      </c>
      <c r="R50" s="278">
        <v>1.6</v>
      </c>
      <c r="S50" s="278">
        <v>1.6</v>
      </c>
      <c r="T50" s="278">
        <v>1.6</v>
      </c>
      <c r="U50" s="278">
        <v>1.6</v>
      </c>
      <c r="V50" s="278">
        <v>1.6</v>
      </c>
      <c r="W50" s="278">
        <v>1.6</v>
      </c>
      <c r="X50" s="278">
        <v>1.6</v>
      </c>
      <c r="Y50" s="278">
        <v>1.6</v>
      </c>
      <c r="Z50" s="278">
        <v>1.6</v>
      </c>
      <c r="AA50" s="278">
        <v>1.6</v>
      </c>
      <c r="AB50" s="278">
        <v>1.6</v>
      </c>
      <c r="AC50" s="278">
        <v>1.6</v>
      </c>
      <c r="AD50" s="278">
        <v>1.6</v>
      </c>
      <c r="AE50" s="278">
        <v>1.6</v>
      </c>
      <c r="AF50" s="278">
        <v>1.6</v>
      </c>
      <c r="AG50" s="278">
        <v>1.6</v>
      </c>
      <c r="AH50" s="278">
        <v>1.6</v>
      </c>
      <c r="AI50" s="278">
        <v>1.6</v>
      </c>
      <c r="AJ50" s="278">
        <v>1.6</v>
      </c>
      <c r="AK50" s="278">
        <v>1.6</v>
      </c>
      <c r="AL50" s="278">
        <v>1.6</v>
      </c>
      <c r="AM50" s="278">
        <v>1.6</v>
      </c>
      <c r="AN50" s="278">
        <v>1.6</v>
      </c>
      <c r="AO50" s="278">
        <v>1.6</v>
      </c>
      <c r="AP50" s="9"/>
    </row>
    <row r="51" spans="1:309" ht="15" customHeight="1" x14ac:dyDescent="0.25">
      <c r="A51" s="35" t="s">
        <v>115</v>
      </c>
      <c r="B51" s="226">
        <f>('[2]BANCO DE DADOS'!$B$440/'[2]BANCO DE DADOS'!$B$441)*100</f>
        <v>2.5007069816508478</v>
      </c>
      <c r="C51" s="226">
        <f>('[3]BANCO DE DADOS'!$B$440/'[3]BANCO DE DADOS'!$B$441)*100</f>
        <v>2.4456090781490927</v>
      </c>
      <c r="D51" s="226">
        <v>2.441088866484229</v>
      </c>
      <c r="E51" s="226">
        <v>2.45522057283948</v>
      </c>
      <c r="F51" s="226">
        <v>2.4665267318861881</v>
      </c>
      <c r="G51" s="226">
        <v>2.4636706865309925</v>
      </c>
      <c r="H51" s="226">
        <v>2.51137466028699</v>
      </c>
      <c r="I51" s="371">
        <v>2.5231355926016032</v>
      </c>
      <c r="J51" s="226">
        <v>2.5345777902175142</v>
      </c>
      <c r="K51" s="280">
        <v>2.535733256215436</v>
      </c>
      <c r="L51" s="280">
        <v>2.4321133989233075</v>
      </c>
      <c r="M51" s="280">
        <v>2.6</v>
      </c>
      <c r="N51" s="280">
        <v>2.6</v>
      </c>
      <c r="O51" s="280">
        <v>2.6</v>
      </c>
      <c r="P51" s="280">
        <v>2.6</v>
      </c>
      <c r="Q51" s="280">
        <v>2.6</v>
      </c>
      <c r="R51" s="280">
        <v>2.6</v>
      </c>
      <c r="S51" s="280">
        <v>2.6</v>
      </c>
      <c r="T51" s="280">
        <v>2.6</v>
      </c>
      <c r="U51" s="280">
        <v>2.6</v>
      </c>
      <c r="V51" s="280">
        <v>2.6</v>
      </c>
      <c r="W51" s="280">
        <v>2.6</v>
      </c>
      <c r="X51" s="280">
        <v>2.7</v>
      </c>
      <c r="Y51" s="280">
        <v>2.7</v>
      </c>
      <c r="Z51" s="280">
        <v>2.7</v>
      </c>
      <c r="AA51" s="280">
        <v>2.7</v>
      </c>
      <c r="AB51" s="280">
        <v>2.7</v>
      </c>
      <c r="AC51" s="280">
        <v>2.7</v>
      </c>
      <c r="AD51" s="280">
        <v>2.7</v>
      </c>
      <c r="AE51" s="280">
        <v>2.7</v>
      </c>
      <c r="AF51" s="280">
        <v>2.7</v>
      </c>
      <c r="AG51" s="280">
        <v>2.7</v>
      </c>
      <c r="AH51" s="280">
        <v>2.7</v>
      </c>
      <c r="AI51" s="280">
        <v>2.6</v>
      </c>
      <c r="AJ51" s="280">
        <v>2.7</v>
      </c>
      <c r="AK51" s="280">
        <v>2.7</v>
      </c>
      <c r="AL51" s="280">
        <v>2.7</v>
      </c>
      <c r="AM51" s="280">
        <v>2.7</v>
      </c>
      <c r="AN51" s="280">
        <v>2.7</v>
      </c>
      <c r="AO51" s="280">
        <v>2.8</v>
      </c>
    </row>
    <row r="52" spans="1:309" ht="15" customHeight="1" x14ac:dyDescent="0.25">
      <c r="A52" s="18" t="s">
        <v>113</v>
      </c>
      <c r="B52" s="227">
        <f t="shared" ref="B52:G52" si="0">SUM(B47:B51)</f>
        <v>100</v>
      </c>
      <c r="C52" s="227">
        <f t="shared" si="0"/>
        <v>100</v>
      </c>
      <c r="D52" s="227">
        <f t="shared" si="0"/>
        <v>100.00000000000003</v>
      </c>
      <c r="E52" s="227">
        <f t="shared" si="0"/>
        <v>100.00000000000001</v>
      </c>
      <c r="F52" s="227">
        <f t="shared" si="0"/>
        <v>100</v>
      </c>
      <c r="G52" s="227">
        <f t="shared" si="0"/>
        <v>99.999999999999986</v>
      </c>
      <c r="H52" s="227">
        <v>100.00000000000003</v>
      </c>
      <c r="I52" s="227">
        <v>100</v>
      </c>
      <c r="J52" s="227">
        <v>100</v>
      </c>
      <c r="K52" s="278">
        <v>99.999999999999986</v>
      </c>
      <c r="L52" s="278">
        <v>99.953924043094361</v>
      </c>
      <c r="M52" s="278">
        <v>100</v>
      </c>
      <c r="N52" s="278">
        <v>100</v>
      </c>
      <c r="O52" s="278">
        <v>100</v>
      </c>
      <c r="P52" s="278">
        <v>100</v>
      </c>
      <c r="Q52" s="278">
        <v>100</v>
      </c>
      <c r="R52" s="278">
        <v>100</v>
      </c>
      <c r="S52" s="278">
        <v>100</v>
      </c>
      <c r="T52" s="278">
        <v>100</v>
      </c>
      <c r="U52" s="278">
        <v>100</v>
      </c>
      <c r="V52" s="278">
        <v>100</v>
      </c>
      <c r="W52" s="278">
        <v>100</v>
      </c>
      <c r="X52" s="278">
        <v>100</v>
      </c>
      <c r="Y52" s="278">
        <v>100</v>
      </c>
      <c r="Z52" s="278">
        <v>100</v>
      </c>
      <c r="AA52" s="278">
        <v>100</v>
      </c>
      <c r="AB52" s="278">
        <v>100</v>
      </c>
      <c r="AC52" s="278">
        <v>100</v>
      </c>
      <c r="AD52" s="278">
        <v>100</v>
      </c>
      <c r="AE52" s="278">
        <v>100</v>
      </c>
      <c r="AF52" s="278">
        <v>100</v>
      </c>
      <c r="AG52" s="278">
        <v>100</v>
      </c>
      <c r="AH52" s="278">
        <v>100</v>
      </c>
      <c r="AI52" s="278">
        <v>100</v>
      </c>
      <c r="AJ52" s="278">
        <v>100</v>
      </c>
      <c r="AK52" s="278">
        <v>100</v>
      </c>
      <c r="AL52" s="278">
        <v>100</v>
      </c>
      <c r="AM52" s="278">
        <v>100</v>
      </c>
      <c r="AN52" s="278">
        <v>100</v>
      </c>
      <c r="AO52" s="278">
        <v>100</v>
      </c>
      <c r="AP52" s="9"/>
    </row>
    <row r="53" spans="1:309" ht="15" customHeight="1" x14ac:dyDescent="0.25">
      <c r="A53" s="35"/>
      <c r="B53" s="35"/>
      <c r="C53" s="35"/>
      <c r="D53" s="35"/>
      <c r="E53" s="35"/>
      <c r="F53" s="226"/>
      <c r="G53" s="226"/>
      <c r="H53" s="226"/>
      <c r="I53" s="226"/>
      <c r="J53" s="226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7"/>
    </row>
    <row r="54" spans="1:309" s="294" customFormat="1" ht="15" customHeight="1" x14ac:dyDescent="0.25">
      <c r="A54" s="170" t="s">
        <v>344</v>
      </c>
      <c r="B54" s="170"/>
      <c r="C54" s="170"/>
      <c r="D54" s="170"/>
      <c r="E54" s="170"/>
      <c r="F54" s="287"/>
      <c r="G54" s="287"/>
      <c r="H54" s="287"/>
      <c r="I54" s="287"/>
      <c r="J54" s="287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117"/>
      <c r="AQ54" s="7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89"/>
      <c r="DK54" s="289"/>
      <c r="DL54" s="289"/>
      <c r="DM54" s="289"/>
      <c r="DN54" s="289"/>
      <c r="DO54" s="289"/>
      <c r="DP54" s="289"/>
      <c r="DQ54" s="289"/>
      <c r="DR54" s="289"/>
      <c r="DS54" s="289"/>
      <c r="DT54" s="289"/>
      <c r="DU54" s="289"/>
      <c r="DV54" s="289"/>
      <c r="DW54" s="289"/>
      <c r="DX54" s="289"/>
      <c r="DY54" s="289"/>
      <c r="DZ54" s="289"/>
      <c r="EA54" s="289"/>
      <c r="EB54" s="289"/>
      <c r="EC54" s="289"/>
      <c r="ED54" s="289"/>
      <c r="EE54" s="289"/>
      <c r="EF54" s="289"/>
      <c r="EG54" s="289"/>
      <c r="EH54" s="289"/>
      <c r="EI54" s="289"/>
      <c r="EJ54" s="289"/>
      <c r="EK54" s="289"/>
      <c r="EL54" s="289"/>
      <c r="EM54" s="289"/>
      <c r="EN54" s="289"/>
      <c r="EO54" s="289"/>
      <c r="EP54" s="289"/>
      <c r="EQ54" s="289"/>
      <c r="ER54" s="289"/>
      <c r="ES54" s="289"/>
      <c r="ET54" s="289"/>
      <c r="EU54" s="289"/>
      <c r="EV54" s="289"/>
      <c r="EW54" s="289"/>
      <c r="EX54" s="289"/>
      <c r="EY54" s="289"/>
      <c r="EZ54" s="289"/>
      <c r="FA54" s="289"/>
      <c r="FB54" s="289"/>
      <c r="FC54" s="289"/>
      <c r="FD54" s="289"/>
      <c r="FE54" s="289"/>
      <c r="FF54" s="289"/>
      <c r="FG54" s="289"/>
      <c r="FH54" s="289"/>
      <c r="FI54" s="289"/>
      <c r="FJ54" s="289"/>
      <c r="FK54" s="289"/>
      <c r="FL54" s="289"/>
      <c r="FM54" s="289"/>
      <c r="FN54" s="289"/>
      <c r="FO54" s="289"/>
      <c r="FP54" s="289"/>
      <c r="FQ54" s="289"/>
      <c r="FR54" s="289"/>
      <c r="FS54" s="289"/>
      <c r="FT54" s="289"/>
      <c r="FU54" s="289"/>
      <c r="FV54" s="289"/>
      <c r="FW54" s="289"/>
      <c r="FX54" s="289"/>
      <c r="FY54" s="289"/>
      <c r="FZ54" s="289"/>
      <c r="GA54" s="289"/>
      <c r="GB54" s="289"/>
      <c r="GC54" s="289"/>
      <c r="GD54" s="289"/>
      <c r="GE54" s="289"/>
      <c r="GF54" s="289"/>
      <c r="GG54" s="289"/>
      <c r="GH54" s="289"/>
      <c r="GI54" s="289"/>
      <c r="GJ54" s="289"/>
      <c r="GK54" s="289"/>
      <c r="GL54" s="289"/>
      <c r="GM54" s="289"/>
      <c r="GN54" s="289"/>
      <c r="GO54" s="289"/>
      <c r="GP54" s="289"/>
      <c r="GQ54" s="289"/>
      <c r="GR54" s="289"/>
      <c r="GS54" s="289"/>
      <c r="GT54" s="289"/>
      <c r="GU54" s="289"/>
      <c r="GV54" s="289"/>
      <c r="GW54" s="289"/>
      <c r="GX54" s="289"/>
      <c r="GY54" s="289"/>
      <c r="GZ54" s="289"/>
      <c r="HA54" s="289"/>
      <c r="HB54" s="289"/>
      <c r="HC54" s="289"/>
      <c r="HD54" s="289"/>
      <c r="HE54" s="289"/>
      <c r="HF54" s="289"/>
      <c r="HG54" s="289"/>
      <c r="HH54" s="289"/>
      <c r="HI54" s="289"/>
      <c r="HJ54" s="289"/>
      <c r="HK54" s="289"/>
      <c r="HL54" s="289"/>
      <c r="HM54" s="289"/>
      <c r="HN54" s="289"/>
      <c r="HO54" s="289"/>
      <c r="HP54" s="289"/>
      <c r="HQ54" s="289"/>
      <c r="HR54" s="289"/>
      <c r="HS54" s="289"/>
      <c r="HT54" s="289"/>
      <c r="HU54" s="289"/>
      <c r="HV54" s="289"/>
      <c r="HW54" s="289"/>
      <c r="HX54" s="289"/>
      <c r="HY54" s="289"/>
      <c r="HZ54" s="289"/>
      <c r="IA54" s="289"/>
      <c r="IB54" s="289"/>
      <c r="IC54" s="289"/>
      <c r="ID54" s="289"/>
      <c r="IE54" s="289"/>
      <c r="IF54" s="289"/>
      <c r="IG54" s="289"/>
      <c r="IH54" s="289"/>
      <c r="II54" s="289"/>
      <c r="IJ54" s="289"/>
      <c r="IK54" s="289"/>
      <c r="IL54" s="289"/>
      <c r="IM54" s="289"/>
      <c r="IN54" s="289"/>
      <c r="IO54" s="289"/>
      <c r="IP54" s="289"/>
      <c r="IQ54" s="289"/>
      <c r="IR54" s="289"/>
      <c r="IS54" s="289"/>
      <c r="IT54" s="289"/>
      <c r="IU54" s="289"/>
      <c r="IV54" s="289"/>
      <c r="IW54" s="289"/>
      <c r="IX54" s="289"/>
      <c r="IY54" s="289"/>
      <c r="IZ54" s="289"/>
      <c r="JA54" s="289"/>
      <c r="JB54" s="289"/>
      <c r="JC54" s="289"/>
      <c r="JD54" s="289"/>
      <c r="JE54" s="289"/>
      <c r="JF54" s="289"/>
      <c r="JG54" s="289"/>
      <c r="JH54" s="289"/>
      <c r="JI54" s="289"/>
      <c r="JJ54" s="289"/>
      <c r="JK54" s="289"/>
      <c r="JL54" s="289"/>
      <c r="JM54" s="289"/>
      <c r="JN54" s="289"/>
      <c r="JO54" s="289"/>
      <c r="JP54" s="289"/>
      <c r="JQ54" s="289"/>
      <c r="JR54" s="289"/>
      <c r="JS54" s="289"/>
      <c r="JT54" s="289"/>
      <c r="JU54" s="289"/>
      <c r="JV54" s="289"/>
      <c r="JW54" s="289"/>
      <c r="JX54" s="289"/>
      <c r="JY54" s="289"/>
      <c r="JZ54" s="289"/>
      <c r="KA54" s="289"/>
      <c r="KB54" s="289"/>
      <c r="KC54" s="289"/>
      <c r="KD54" s="289"/>
      <c r="KE54" s="289"/>
      <c r="KF54" s="289"/>
      <c r="KG54" s="289"/>
      <c r="KH54" s="289"/>
      <c r="KI54" s="289"/>
      <c r="KJ54" s="289"/>
      <c r="KK54" s="289"/>
      <c r="KL54" s="289"/>
      <c r="KM54" s="289"/>
      <c r="KN54" s="289"/>
      <c r="KO54" s="289"/>
      <c r="KP54" s="289"/>
      <c r="KQ54" s="289"/>
      <c r="KR54" s="289"/>
      <c r="KS54" s="289"/>
      <c r="KT54" s="289"/>
      <c r="KU54" s="289"/>
      <c r="KV54" s="289"/>
      <c r="KW54" s="289"/>
    </row>
    <row r="55" spans="1:309" s="293" customFormat="1" ht="15" customHeight="1" x14ac:dyDescent="0.25">
      <c r="A55" s="34"/>
      <c r="B55" s="34"/>
      <c r="C55" s="34"/>
      <c r="D55" s="34"/>
      <c r="E55" s="34"/>
      <c r="F55" s="288"/>
      <c r="G55" s="288"/>
      <c r="H55" s="288"/>
      <c r="I55" s="288"/>
      <c r="J55" s="288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5"/>
      <c r="AQ55" s="7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89"/>
      <c r="CO55" s="289"/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89"/>
      <c r="DW55" s="289"/>
      <c r="DX55" s="289"/>
      <c r="DY55" s="289"/>
      <c r="DZ55" s="289"/>
      <c r="EA55" s="289"/>
      <c r="EB55" s="289"/>
      <c r="EC55" s="289"/>
      <c r="ED55" s="289"/>
      <c r="EE55" s="289"/>
      <c r="EF55" s="289"/>
      <c r="EG55" s="289"/>
      <c r="EH55" s="289"/>
      <c r="EI55" s="289"/>
      <c r="EJ55" s="289"/>
      <c r="EK55" s="289"/>
      <c r="EL55" s="289"/>
      <c r="EM55" s="289"/>
      <c r="EN55" s="289"/>
      <c r="EO55" s="289"/>
      <c r="EP55" s="289"/>
      <c r="EQ55" s="289"/>
      <c r="ER55" s="289"/>
      <c r="ES55" s="289"/>
      <c r="ET55" s="289"/>
      <c r="EU55" s="289"/>
      <c r="EV55" s="289"/>
      <c r="EW55" s="289"/>
      <c r="EX55" s="289"/>
      <c r="EY55" s="289"/>
      <c r="EZ55" s="289"/>
      <c r="FA55" s="289"/>
      <c r="FB55" s="289"/>
      <c r="FC55" s="289"/>
      <c r="FD55" s="289"/>
      <c r="FE55" s="289"/>
      <c r="FF55" s="289"/>
      <c r="FG55" s="289"/>
      <c r="FH55" s="289"/>
      <c r="FI55" s="289"/>
      <c r="FJ55" s="289"/>
      <c r="FK55" s="289"/>
      <c r="FL55" s="289"/>
      <c r="FM55" s="289"/>
      <c r="FN55" s="289"/>
      <c r="FO55" s="289"/>
      <c r="FP55" s="289"/>
      <c r="FQ55" s="289"/>
      <c r="FR55" s="289"/>
      <c r="FS55" s="289"/>
      <c r="FT55" s="289"/>
      <c r="FU55" s="289"/>
      <c r="FV55" s="289"/>
      <c r="FW55" s="289"/>
      <c r="FX55" s="289"/>
      <c r="FY55" s="289"/>
      <c r="FZ55" s="289"/>
      <c r="GA55" s="289"/>
      <c r="GB55" s="289"/>
      <c r="GC55" s="289"/>
      <c r="GD55" s="289"/>
      <c r="GE55" s="289"/>
      <c r="GF55" s="289"/>
      <c r="GG55" s="289"/>
      <c r="GH55" s="289"/>
      <c r="GI55" s="289"/>
      <c r="GJ55" s="289"/>
      <c r="GK55" s="289"/>
      <c r="GL55" s="289"/>
      <c r="GM55" s="289"/>
      <c r="GN55" s="289"/>
      <c r="GO55" s="289"/>
      <c r="GP55" s="289"/>
      <c r="GQ55" s="289"/>
      <c r="GR55" s="289"/>
      <c r="GS55" s="289"/>
      <c r="GT55" s="289"/>
      <c r="GU55" s="289"/>
      <c r="GV55" s="289"/>
      <c r="GW55" s="289"/>
      <c r="GX55" s="289"/>
      <c r="GY55" s="289"/>
      <c r="GZ55" s="289"/>
      <c r="HA55" s="289"/>
      <c r="HB55" s="289"/>
      <c r="HC55" s="289"/>
      <c r="HD55" s="289"/>
      <c r="HE55" s="289"/>
      <c r="HF55" s="289"/>
      <c r="HG55" s="289"/>
      <c r="HH55" s="289"/>
      <c r="HI55" s="289"/>
      <c r="HJ55" s="289"/>
      <c r="HK55" s="289"/>
      <c r="HL55" s="289"/>
      <c r="HM55" s="289"/>
      <c r="HN55" s="289"/>
      <c r="HO55" s="289"/>
      <c r="HP55" s="289"/>
      <c r="HQ55" s="289"/>
      <c r="HR55" s="289"/>
      <c r="HS55" s="289"/>
      <c r="HT55" s="289"/>
      <c r="HU55" s="289"/>
      <c r="HV55" s="289"/>
      <c r="HW55" s="289"/>
      <c r="HX55" s="289"/>
      <c r="HY55" s="289"/>
      <c r="HZ55" s="289"/>
      <c r="IA55" s="289"/>
      <c r="IB55" s="289"/>
      <c r="IC55" s="289"/>
      <c r="ID55" s="289"/>
      <c r="IE55" s="289"/>
      <c r="IF55" s="289"/>
      <c r="IG55" s="289"/>
      <c r="IH55" s="289"/>
      <c r="II55" s="289"/>
      <c r="IJ55" s="289"/>
      <c r="IK55" s="289"/>
      <c r="IL55" s="289"/>
      <c r="IM55" s="289"/>
      <c r="IN55" s="289"/>
      <c r="IO55" s="289"/>
      <c r="IP55" s="289"/>
      <c r="IQ55" s="289"/>
      <c r="IR55" s="289"/>
      <c r="IS55" s="289"/>
      <c r="IT55" s="289"/>
      <c r="IU55" s="289"/>
      <c r="IV55" s="289"/>
      <c r="IW55" s="289"/>
      <c r="IX55" s="289"/>
      <c r="IY55" s="289"/>
      <c r="IZ55" s="289"/>
      <c r="JA55" s="289"/>
      <c r="JB55" s="289"/>
      <c r="JC55" s="289"/>
      <c r="JD55" s="289"/>
      <c r="JE55" s="289"/>
      <c r="JF55" s="289"/>
      <c r="JG55" s="289"/>
      <c r="JH55" s="289"/>
      <c r="JI55" s="289"/>
      <c r="JJ55" s="289"/>
      <c r="JK55" s="289"/>
      <c r="JL55" s="289"/>
      <c r="JM55" s="289"/>
      <c r="JN55" s="289"/>
      <c r="JO55" s="289"/>
      <c r="JP55" s="289"/>
      <c r="JQ55" s="289"/>
      <c r="JR55" s="289"/>
      <c r="JS55" s="289"/>
      <c r="JT55" s="289"/>
      <c r="JU55" s="289"/>
      <c r="JV55" s="289"/>
      <c r="JW55" s="289"/>
      <c r="JX55" s="289"/>
      <c r="JY55" s="289"/>
      <c r="JZ55" s="289"/>
      <c r="KA55" s="289"/>
      <c r="KB55" s="289"/>
      <c r="KC55" s="289"/>
      <c r="KD55" s="289"/>
      <c r="KE55" s="289"/>
      <c r="KF55" s="289"/>
      <c r="KG55" s="289"/>
      <c r="KH55" s="289"/>
      <c r="KI55" s="289"/>
      <c r="KJ55" s="289"/>
      <c r="KK55" s="289"/>
      <c r="KL55" s="289"/>
      <c r="KM55" s="289"/>
      <c r="KN55" s="289"/>
      <c r="KO55" s="289"/>
      <c r="KP55" s="289"/>
      <c r="KQ55" s="289"/>
      <c r="KR55" s="289"/>
      <c r="KS55" s="289"/>
      <c r="KT55" s="289"/>
      <c r="KU55" s="289"/>
      <c r="KV55" s="289"/>
      <c r="KW55" s="289"/>
    </row>
    <row r="56" spans="1:309" ht="15" customHeight="1" x14ac:dyDescent="0.25">
      <c r="A56" s="18" t="s">
        <v>109</v>
      </c>
      <c r="B56" s="227">
        <f>(('[2]BANCO DE DADOS'!$B$476+'[2]BANCO DE DADOS'!$B$477)/'[2]BANCO DE DADOS'!$B$482)*100</f>
        <v>88.738987416271158</v>
      </c>
      <c r="C56" s="227">
        <f>(('[3]BANCO DE DADOS'!$B$476+'[3]BANCO DE DADOS'!$B$477)/'[3]BANCO DE DADOS'!$B$482)*100</f>
        <v>88.84012085542939</v>
      </c>
      <c r="D56" s="227">
        <v>88.85168814867906</v>
      </c>
      <c r="E56" s="227">
        <v>88.830088314045</v>
      </c>
      <c r="F56" s="227">
        <v>88.825866955569893</v>
      </c>
      <c r="G56" s="227">
        <v>88.840021556728303</v>
      </c>
      <c r="H56" s="227">
        <v>88.800840013701801</v>
      </c>
      <c r="I56" s="370">
        <v>88.806756081848917</v>
      </c>
      <c r="J56" s="227">
        <v>88.798364603817575</v>
      </c>
      <c r="K56" s="278">
        <v>88.783388128302008</v>
      </c>
      <c r="L56" s="278">
        <v>88.827897379520905</v>
      </c>
      <c r="M56" s="278">
        <v>88.8</v>
      </c>
      <c r="N56" s="278">
        <v>88.8</v>
      </c>
      <c r="O56" s="278">
        <v>88.8</v>
      </c>
      <c r="P56" s="278">
        <v>88.8</v>
      </c>
      <c r="Q56" s="278">
        <v>88.8</v>
      </c>
      <c r="R56" s="278">
        <v>88.7</v>
      </c>
      <c r="S56" s="278">
        <v>88.7</v>
      </c>
      <c r="T56" s="278">
        <v>88.7</v>
      </c>
      <c r="U56" s="278">
        <v>88.7</v>
      </c>
      <c r="V56" s="278">
        <v>88.6</v>
      </c>
      <c r="W56" s="278">
        <v>88.6</v>
      </c>
      <c r="X56" s="278">
        <v>88.6</v>
      </c>
      <c r="Y56" s="278">
        <v>88.5</v>
      </c>
      <c r="Z56" s="278">
        <v>88.5</v>
      </c>
      <c r="AA56" s="278">
        <v>88.5</v>
      </c>
      <c r="AB56" s="278">
        <v>88.4</v>
      </c>
      <c r="AC56" s="278">
        <v>88.4</v>
      </c>
      <c r="AD56" s="278">
        <v>88.4</v>
      </c>
      <c r="AE56" s="278">
        <v>88.4</v>
      </c>
      <c r="AF56" s="278">
        <v>88.4</v>
      </c>
      <c r="AG56" s="278">
        <v>88.4</v>
      </c>
      <c r="AH56" s="278">
        <v>88.4</v>
      </c>
      <c r="AI56" s="278">
        <v>88.5</v>
      </c>
      <c r="AJ56" s="278">
        <v>88.5</v>
      </c>
      <c r="AK56" s="278">
        <v>88.5</v>
      </c>
      <c r="AL56" s="278">
        <v>88.5</v>
      </c>
      <c r="AM56" s="278">
        <v>88.5</v>
      </c>
      <c r="AN56" s="278">
        <v>88.5</v>
      </c>
      <c r="AO56" s="278">
        <v>88.6</v>
      </c>
      <c r="AP56" s="9"/>
    </row>
    <row r="57" spans="1:309" ht="15" customHeight="1" x14ac:dyDescent="0.25">
      <c r="A57" s="35" t="s">
        <v>110</v>
      </c>
      <c r="B57" s="226">
        <f>('[2]BANCO DE DADOS'!$B$478/'[2]BANCO DE DADOS'!$B$482)*100</f>
        <v>6.7513001826811285</v>
      </c>
      <c r="C57" s="226">
        <f>('[3]BANCO DE DADOS'!$B$478/'[3]BANCO DE DADOS'!$B$482)*100</f>
        <v>6.7116771887133222</v>
      </c>
      <c r="D57" s="226">
        <v>6.7036331334068695</v>
      </c>
      <c r="E57" s="226">
        <v>6.6872099181688789</v>
      </c>
      <c r="F57" s="226">
        <v>6.6761094178796805</v>
      </c>
      <c r="G57" s="226">
        <v>6.6914721926804575</v>
      </c>
      <c r="H57" s="226">
        <v>6.6814513698410103</v>
      </c>
      <c r="I57" s="371">
        <v>6.6641212533566891</v>
      </c>
      <c r="J57" s="226">
        <v>6.653752966808085</v>
      </c>
      <c r="K57" s="280">
        <v>6.6625700550328846</v>
      </c>
      <c r="L57" s="280">
        <v>6.6</v>
      </c>
      <c r="M57" s="280">
        <v>6.6</v>
      </c>
      <c r="N57" s="280">
        <v>6.7</v>
      </c>
      <c r="O57" s="280">
        <v>6.7</v>
      </c>
      <c r="P57" s="280">
        <v>6.6</v>
      </c>
      <c r="Q57" s="280">
        <v>6.6</v>
      </c>
      <c r="R57" s="280">
        <v>6.6</v>
      </c>
      <c r="S57" s="280">
        <v>6.6</v>
      </c>
      <c r="T57" s="280">
        <v>6.6</v>
      </c>
      <c r="U57" s="280">
        <v>6.6</v>
      </c>
      <c r="V57" s="280">
        <v>6.6</v>
      </c>
      <c r="W57" s="280">
        <v>6.6</v>
      </c>
      <c r="X57" s="280">
        <v>6.7</v>
      </c>
      <c r="Y57" s="280">
        <v>6.7</v>
      </c>
      <c r="Z57" s="280">
        <v>6.7</v>
      </c>
      <c r="AA57" s="280">
        <v>6.7</v>
      </c>
      <c r="AB57" s="280">
        <v>6.7</v>
      </c>
      <c r="AC57" s="280">
        <v>6.8</v>
      </c>
      <c r="AD57" s="280">
        <v>6.9</v>
      </c>
      <c r="AE57" s="280">
        <v>6.9</v>
      </c>
      <c r="AF57" s="280">
        <v>6.9</v>
      </c>
      <c r="AG57" s="280">
        <v>6.9</v>
      </c>
      <c r="AH57" s="280">
        <v>6.9</v>
      </c>
      <c r="AI57" s="280">
        <v>6.9</v>
      </c>
      <c r="AJ57" s="280">
        <v>6.8</v>
      </c>
      <c r="AK57" s="280">
        <v>6.8</v>
      </c>
      <c r="AL57" s="280">
        <v>6.8</v>
      </c>
      <c r="AM57" s="280">
        <v>6.8</v>
      </c>
      <c r="AN57" s="280">
        <v>6.6</v>
      </c>
      <c r="AO57" s="280">
        <v>6.6</v>
      </c>
    </row>
    <row r="58" spans="1:309" ht="15" customHeight="1" x14ac:dyDescent="0.25">
      <c r="A58" s="18" t="s">
        <v>111</v>
      </c>
      <c r="B58" s="227">
        <f>('[2]BANCO DE DADOS'!$B$479/'[2]BANCO DE DADOS'!$B$482)*100</f>
        <v>0.64034543340879491</v>
      </c>
      <c r="C58" s="227">
        <f>('[3]BANCO DE DADOS'!$B$479/'[3]BANCO DE DADOS'!$B$482)*100</f>
        <v>0.63673192981618087</v>
      </c>
      <c r="D58" s="227">
        <v>0.63193696125454857</v>
      </c>
      <c r="E58" s="227">
        <v>0.62564387271211896</v>
      </c>
      <c r="F58" s="227">
        <v>0.62726847343593894</v>
      </c>
      <c r="G58" s="227">
        <v>0.6320464272302756</v>
      </c>
      <c r="H58" s="227">
        <v>0.63206771798323103</v>
      </c>
      <c r="I58" s="370">
        <v>0.63438696555368168</v>
      </c>
      <c r="J58" s="227">
        <v>0.63943525636274046</v>
      </c>
      <c r="K58" s="278">
        <v>0.63062540612960161</v>
      </c>
      <c r="L58" s="278">
        <v>0.61115319877306551</v>
      </c>
      <c r="M58" s="278">
        <v>0.6</v>
      </c>
      <c r="N58" s="278">
        <v>0.7</v>
      </c>
      <c r="O58" s="278">
        <v>0.6</v>
      </c>
      <c r="P58" s="278">
        <v>0.6</v>
      </c>
      <c r="Q58" s="278">
        <v>0.6</v>
      </c>
      <c r="R58" s="278">
        <v>0.7</v>
      </c>
      <c r="S58" s="278">
        <v>0.7</v>
      </c>
      <c r="T58" s="278">
        <v>0.7</v>
      </c>
      <c r="U58" s="278">
        <v>0.7</v>
      </c>
      <c r="V58" s="278">
        <v>0.7</v>
      </c>
      <c r="W58" s="278">
        <v>0.7</v>
      </c>
      <c r="X58" s="278">
        <v>0.7</v>
      </c>
      <c r="Y58" s="278">
        <v>0.7</v>
      </c>
      <c r="Z58" s="278">
        <v>0.7</v>
      </c>
      <c r="AA58" s="278">
        <v>0.7</v>
      </c>
      <c r="AB58" s="278">
        <v>0.7</v>
      </c>
      <c r="AC58" s="278">
        <v>0.7</v>
      </c>
      <c r="AD58" s="278">
        <v>0.6</v>
      </c>
      <c r="AE58" s="278">
        <v>0.6</v>
      </c>
      <c r="AF58" s="278">
        <v>0.6</v>
      </c>
      <c r="AG58" s="278">
        <v>0.6</v>
      </c>
      <c r="AH58" s="278">
        <v>0.6</v>
      </c>
      <c r="AI58" s="278">
        <v>0.6</v>
      </c>
      <c r="AJ58" s="278">
        <v>0.6</v>
      </c>
      <c r="AK58" s="278">
        <v>0.6</v>
      </c>
      <c r="AL58" s="278">
        <v>0.6</v>
      </c>
      <c r="AM58" s="278">
        <v>0.6</v>
      </c>
      <c r="AN58" s="278">
        <v>0.7</v>
      </c>
      <c r="AO58" s="278">
        <v>0.7</v>
      </c>
      <c r="AP58" s="9"/>
    </row>
    <row r="59" spans="1:309" ht="15" customHeight="1" x14ac:dyDescent="0.25">
      <c r="A59" s="35" t="s">
        <v>114</v>
      </c>
      <c r="B59" s="226">
        <f>('[2]BANCO DE DADOS'!$B$480/'[2]BANCO DE DADOS'!$B$482)*100</f>
        <v>1.225146479964804</v>
      </c>
      <c r="C59" s="226">
        <f>('[3]BANCO DE DADOS'!$B$480/'[3]BANCO DE DADOS'!$B$482)*100</f>
        <v>1.2264676481311454</v>
      </c>
      <c r="D59" s="226">
        <v>1.2356431832670252</v>
      </c>
      <c r="E59" s="226">
        <v>1.2642745902055399</v>
      </c>
      <c r="F59" s="226">
        <v>1.2670429715438758</v>
      </c>
      <c r="G59" s="226">
        <v>1.2410885001160967</v>
      </c>
      <c r="H59" s="226">
        <v>1.24013195058819</v>
      </c>
      <c r="I59" s="371">
        <v>1.2388442134672872</v>
      </c>
      <c r="J59" s="226">
        <v>1.2415537717160177</v>
      </c>
      <c r="K59" s="280">
        <v>1.2419201584518824</v>
      </c>
      <c r="L59" s="280">
        <v>1.3220945035728628</v>
      </c>
      <c r="M59" s="280">
        <v>1.3</v>
      </c>
      <c r="N59" s="280">
        <v>1.3</v>
      </c>
      <c r="O59" s="280">
        <v>1.3</v>
      </c>
      <c r="P59" s="280">
        <v>1.2</v>
      </c>
      <c r="Q59" s="280">
        <v>1.3</v>
      </c>
      <c r="R59" s="280">
        <v>1.2</v>
      </c>
      <c r="S59" s="280">
        <v>1.3</v>
      </c>
      <c r="T59" s="280">
        <v>1.3</v>
      </c>
      <c r="U59" s="280">
        <v>1.2</v>
      </c>
      <c r="V59" s="280">
        <v>1.3</v>
      </c>
      <c r="W59" s="280">
        <v>1.3</v>
      </c>
      <c r="X59" s="280">
        <v>1.3</v>
      </c>
      <c r="Y59" s="280">
        <v>1.2</v>
      </c>
      <c r="Z59" s="280">
        <v>1.2</v>
      </c>
      <c r="AA59" s="280">
        <v>1.2</v>
      </c>
      <c r="AB59" s="280">
        <v>1.2</v>
      </c>
      <c r="AC59" s="280">
        <v>1.2</v>
      </c>
      <c r="AD59" s="280">
        <v>1.2</v>
      </c>
      <c r="AE59" s="280">
        <v>1.2</v>
      </c>
      <c r="AF59" s="280">
        <v>1.2</v>
      </c>
      <c r="AG59" s="280">
        <v>1.2</v>
      </c>
      <c r="AH59" s="280">
        <v>1.2</v>
      </c>
      <c r="AI59" s="280">
        <v>1.3</v>
      </c>
      <c r="AJ59" s="280">
        <v>1.2</v>
      </c>
      <c r="AK59" s="280">
        <v>1.2</v>
      </c>
      <c r="AL59" s="280">
        <v>1.3</v>
      </c>
      <c r="AM59" s="280">
        <v>1.3</v>
      </c>
      <c r="AN59" s="280">
        <v>1.3</v>
      </c>
      <c r="AO59" s="280">
        <v>1.2</v>
      </c>
    </row>
    <row r="60" spans="1:309" ht="15" customHeight="1" x14ac:dyDescent="0.25">
      <c r="A60" s="18" t="s">
        <v>115</v>
      </c>
      <c r="B60" s="227">
        <f>('[2]BANCO DE DADOS'!$B$481/'[2]BANCO DE DADOS'!$B$482)*100</f>
        <v>2.6442204876741227</v>
      </c>
      <c r="C60" s="227">
        <f>('[3]BANCO DE DADOS'!$B$481/'[3]BANCO DE DADOS'!$B$482)*100</f>
        <v>2.5850023779099542</v>
      </c>
      <c r="D60" s="227">
        <v>2.5770985733924925</v>
      </c>
      <c r="E60" s="227">
        <v>2.5927833048684601</v>
      </c>
      <c r="F60" s="227">
        <v>2.6037121815706157</v>
      </c>
      <c r="G60" s="227">
        <v>2.5953713232448603</v>
      </c>
      <c r="H60" s="227">
        <v>2.6455089478857299</v>
      </c>
      <c r="I60" s="370">
        <v>2.6558914857734317</v>
      </c>
      <c r="J60" s="227">
        <v>2.6668934012955852</v>
      </c>
      <c r="K60" s="278">
        <v>2.6814962520836216</v>
      </c>
      <c r="L60" s="278">
        <v>2.6120773868688394</v>
      </c>
      <c r="M60" s="278">
        <v>2.7</v>
      </c>
      <c r="N60" s="278">
        <v>2.7</v>
      </c>
      <c r="O60" s="278">
        <v>2.7</v>
      </c>
      <c r="P60" s="278">
        <v>2.7</v>
      </c>
      <c r="Q60" s="278">
        <v>2.8</v>
      </c>
      <c r="R60" s="278">
        <v>2.7</v>
      </c>
      <c r="S60" s="278">
        <v>2.8</v>
      </c>
      <c r="T60" s="278">
        <v>2.8</v>
      </c>
      <c r="U60" s="278">
        <v>2.8</v>
      </c>
      <c r="V60" s="278">
        <v>2.8</v>
      </c>
      <c r="W60" s="278">
        <v>2.8</v>
      </c>
      <c r="X60" s="278">
        <v>2.8</v>
      </c>
      <c r="Y60" s="278">
        <v>2.8</v>
      </c>
      <c r="Z60" s="278">
        <v>2.8</v>
      </c>
      <c r="AA60" s="278">
        <v>2.9</v>
      </c>
      <c r="AB60" s="278">
        <v>2.9</v>
      </c>
      <c r="AC60" s="278">
        <v>2.9</v>
      </c>
      <c r="AD60" s="278">
        <v>2.9</v>
      </c>
      <c r="AE60" s="278">
        <v>2.9</v>
      </c>
      <c r="AF60" s="278">
        <v>2.9</v>
      </c>
      <c r="AG60" s="278">
        <v>2.9</v>
      </c>
      <c r="AH60" s="278">
        <v>2.9</v>
      </c>
      <c r="AI60" s="278">
        <v>2.8</v>
      </c>
      <c r="AJ60" s="278">
        <v>2.9</v>
      </c>
      <c r="AK60" s="278">
        <v>2.9</v>
      </c>
      <c r="AL60" s="278">
        <v>2.8</v>
      </c>
      <c r="AM60" s="278">
        <v>2.9</v>
      </c>
      <c r="AN60" s="278">
        <v>2.9</v>
      </c>
      <c r="AO60" s="278">
        <v>2.9</v>
      </c>
      <c r="AP60" s="9"/>
    </row>
    <row r="61" spans="1:309" ht="15" customHeight="1" x14ac:dyDescent="0.25">
      <c r="A61" s="35" t="s">
        <v>113</v>
      </c>
      <c r="B61" s="226">
        <f t="shared" ref="B61:G61" si="1">SUM(B56:B60)</f>
        <v>100.00000000000001</v>
      </c>
      <c r="C61" s="226">
        <f t="shared" si="1"/>
        <v>100</v>
      </c>
      <c r="D61" s="226">
        <f t="shared" si="1"/>
        <v>100</v>
      </c>
      <c r="E61" s="226">
        <f t="shared" si="1"/>
        <v>100</v>
      </c>
      <c r="F61" s="226">
        <f t="shared" si="1"/>
        <v>100</v>
      </c>
      <c r="G61" s="226">
        <f t="shared" si="1"/>
        <v>99.999999999999986</v>
      </c>
      <c r="H61" s="226">
        <v>99.999999999999972</v>
      </c>
      <c r="I61" s="226">
        <v>100.00000000000001</v>
      </c>
      <c r="J61" s="226">
        <v>100</v>
      </c>
      <c r="K61" s="280">
        <v>100</v>
      </c>
      <c r="L61" s="280">
        <v>99.973222468735656</v>
      </c>
      <c r="M61" s="280">
        <v>100</v>
      </c>
      <c r="N61" s="280">
        <v>100</v>
      </c>
      <c r="O61" s="280">
        <v>100</v>
      </c>
      <c r="P61" s="280">
        <v>100</v>
      </c>
      <c r="Q61" s="280">
        <v>100</v>
      </c>
      <c r="R61" s="280">
        <v>100</v>
      </c>
      <c r="S61" s="280">
        <v>100</v>
      </c>
      <c r="T61" s="280">
        <v>100</v>
      </c>
      <c r="U61" s="280">
        <v>100</v>
      </c>
      <c r="V61" s="280">
        <v>100</v>
      </c>
      <c r="W61" s="280">
        <v>100</v>
      </c>
      <c r="X61" s="280">
        <v>100</v>
      </c>
      <c r="Y61" s="280">
        <v>100</v>
      </c>
      <c r="Z61" s="280">
        <v>100</v>
      </c>
      <c r="AA61" s="280">
        <v>100</v>
      </c>
      <c r="AB61" s="280">
        <v>100</v>
      </c>
      <c r="AC61" s="280">
        <v>100</v>
      </c>
      <c r="AD61" s="280">
        <v>100</v>
      </c>
      <c r="AE61" s="280">
        <v>100</v>
      </c>
      <c r="AF61" s="280">
        <v>100</v>
      </c>
      <c r="AG61" s="280">
        <v>100</v>
      </c>
      <c r="AH61" s="280">
        <v>100</v>
      </c>
      <c r="AI61" s="280">
        <v>100</v>
      </c>
      <c r="AJ61" s="280">
        <v>100</v>
      </c>
      <c r="AK61" s="280">
        <v>100</v>
      </c>
      <c r="AL61" s="280">
        <v>100</v>
      </c>
      <c r="AM61" s="280">
        <v>100</v>
      </c>
      <c r="AN61" s="280">
        <v>100</v>
      </c>
      <c r="AO61" s="280">
        <v>100</v>
      </c>
    </row>
    <row r="62" spans="1:309" ht="15" customHeight="1" x14ac:dyDescent="0.25">
      <c r="A62" s="18"/>
      <c r="B62" s="18"/>
      <c r="C62" s="18"/>
      <c r="D62" s="18"/>
      <c r="E62" s="18"/>
      <c r="F62" s="227"/>
      <c r="G62" s="227"/>
      <c r="H62" s="227"/>
      <c r="I62" s="227"/>
      <c r="J62" s="227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9"/>
    </row>
    <row r="63" spans="1:309" s="294" customFormat="1" ht="15" customHeight="1" x14ac:dyDescent="0.25">
      <c r="A63" s="143" t="s">
        <v>343</v>
      </c>
      <c r="B63" s="143"/>
      <c r="C63" s="143"/>
      <c r="D63" s="143"/>
      <c r="E63" s="143"/>
      <c r="F63" s="287"/>
      <c r="G63" s="287"/>
      <c r="H63" s="287"/>
      <c r="I63" s="287"/>
      <c r="J63" s="287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117"/>
      <c r="AQ63" s="7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  <c r="CM63" s="289"/>
      <c r="CN63" s="289"/>
      <c r="CO63" s="289"/>
      <c r="CP63" s="289"/>
      <c r="CQ63" s="289"/>
      <c r="CR63" s="289"/>
      <c r="CS63" s="289"/>
      <c r="CT63" s="289"/>
      <c r="CU63" s="289"/>
      <c r="CV63" s="289"/>
      <c r="CW63" s="289"/>
      <c r="CX63" s="289"/>
      <c r="CY63" s="289"/>
      <c r="CZ63" s="289"/>
      <c r="DA63" s="289"/>
      <c r="DB63" s="289"/>
      <c r="DC63" s="289"/>
      <c r="DD63" s="289"/>
      <c r="DE63" s="289"/>
      <c r="DF63" s="289"/>
      <c r="DG63" s="289"/>
      <c r="DH63" s="289"/>
      <c r="DI63" s="289"/>
      <c r="DJ63" s="289"/>
      <c r="DK63" s="289"/>
      <c r="DL63" s="289"/>
      <c r="DM63" s="289"/>
      <c r="DN63" s="289"/>
      <c r="DO63" s="289"/>
      <c r="DP63" s="289"/>
      <c r="DQ63" s="289"/>
      <c r="DR63" s="289"/>
      <c r="DS63" s="289"/>
      <c r="DT63" s="289"/>
      <c r="DU63" s="289"/>
      <c r="DV63" s="289"/>
      <c r="DW63" s="289"/>
      <c r="DX63" s="289"/>
      <c r="DY63" s="289"/>
      <c r="DZ63" s="289"/>
      <c r="EA63" s="289"/>
      <c r="EB63" s="289"/>
      <c r="EC63" s="289"/>
      <c r="ED63" s="289"/>
      <c r="EE63" s="289"/>
      <c r="EF63" s="289"/>
      <c r="EG63" s="289"/>
      <c r="EH63" s="289"/>
      <c r="EI63" s="289"/>
      <c r="EJ63" s="289"/>
      <c r="EK63" s="289"/>
      <c r="EL63" s="289"/>
      <c r="EM63" s="289"/>
      <c r="EN63" s="289"/>
      <c r="EO63" s="289"/>
      <c r="EP63" s="289"/>
      <c r="EQ63" s="289"/>
      <c r="ER63" s="289"/>
      <c r="ES63" s="289"/>
      <c r="ET63" s="289"/>
      <c r="EU63" s="289"/>
      <c r="EV63" s="289"/>
      <c r="EW63" s="289"/>
      <c r="EX63" s="289"/>
      <c r="EY63" s="289"/>
      <c r="EZ63" s="289"/>
      <c r="FA63" s="289"/>
      <c r="FB63" s="289"/>
      <c r="FC63" s="289"/>
      <c r="FD63" s="289"/>
      <c r="FE63" s="289"/>
      <c r="FF63" s="289"/>
      <c r="FG63" s="289"/>
      <c r="FH63" s="289"/>
      <c r="FI63" s="289"/>
      <c r="FJ63" s="289"/>
      <c r="FK63" s="289"/>
      <c r="FL63" s="289"/>
      <c r="FM63" s="289"/>
      <c r="FN63" s="289"/>
      <c r="FO63" s="289"/>
      <c r="FP63" s="289"/>
      <c r="FQ63" s="289"/>
      <c r="FR63" s="289"/>
      <c r="FS63" s="289"/>
      <c r="FT63" s="289"/>
      <c r="FU63" s="289"/>
      <c r="FV63" s="289"/>
      <c r="FW63" s="289"/>
      <c r="FX63" s="289"/>
      <c r="FY63" s="289"/>
      <c r="FZ63" s="289"/>
      <c r="GA63" s="289"/>
      <c r="GB63" s="289"/>
      <c r="GC63" s="289"/>
      <c r="GD63" s="289"/>
      <c r="GE63" s="289"/>
      <c r="GF63" s="289"/>
      <c r="GG63" s="289"/>
      <c r="GH63" s="289"/>
      <c r="GI63" s="289"/>
      <c r="GJ63" s="289"/>
      <c r="GK63" s="289"/>
      <c r="GL63" s="289"/>
      <c r="GM63" s="289"/>
      <c r="GN63" s="289"/>
      <c r="GO63" s="289"/>
      <c r="GP63" s="289"/>
      <c r="GQ63" s="289"/>
      <c r="GR63" s="289"/>
      <c r="GS63" s="289"/>
      <c r="GT63" s="289"/>
      <c r="GU63" s="289"/>
      <c r="GV63" s="289"/>
      <c r="GW63" s="289"/>
      <c r="GX63" s="289"/>
      <c r="GY63" s="289"/>
      <c r="GZ63" s="289"/>
      <c r="HA63" s="289"/>
      <c r="HB63" s="289"/>
      <c r="HC63" s="289"/>
      <c r="HD63" s="289"/>
      <c r="HE63" s="289"/>
      <c r="HF63" s="289"/>
      <c r="HG63" s="289"/>
      <c r="HH63" s="289"/>
      <c r="HI63" s="289"/>
      <c r="HJ63" s="289"/>
      <c r="HK63" s="289"/>
      <c r="HL63" s="289"/>
      <c r="HM63" s="289"/>
      <c r="HN63" s="289"/>
      <c r="HO63" s="289"/>
      <c r="HP63" s="289"/>
      <c r="HQ63" s="289"/>
      <c r="HR63" s="289"/>
      <c r="HS63" s="289"/>
      <c r="HT63" s="289"/>
      <c r="HU63" s="289"/>
      <c r="HV63" s="289"/>
      <c r="HW63" s="289"/>
      <c r="HX63" s="289"/>
      <c r="HY63" s="289"/>
      <c r="HZ63" s="289"/>
      <c r="IA63" s="289"/>
      <c r="IB63" s="289"/>
      <c r="IC63" s="289"/>
      <c r="ID63" s="289"/>
      <c r="IE63" s="289"/>
      <c r="IF63" s="289"/>
      <c r="IG63" s="289"/>
      <c r="IH63" s="289"/>
      <c r="II63" s="289"/>
      <c r="IJ63" s="289"/>
      <c r="IK63" s="289"/>
      <c r="IL63" s="289"/>
      <c r="IM63" s="289"/>
      <c r="IN63" s="289"/>
      <c r="IO63" s="289"/>
      <c r="IP63" s="289"/>
      <c r="IQ63" s="289"/>
      <c r="IR63" s="289"/>
      <c r="IS63" s="289"/>
      <c r="IT63" s="289"/>
      <c r="IU63" s="289"/>
      <c r="IV63" s="289"/>
      <c r="IW63" s="289"/>
      <c r="IX63" s="289"/>
      <c r="IY63" s="289"/>
      <c r="IZ63" s="289"/>
      <c r="JA63" s="289"/>
      <c r="JB63" s="289"/>
      <c r="JC63" s="289"/>
      <c r="JD63" s="289"/>
      <c r="JE63" s="289"/>
      <c r="JF63" s="289"/>
      <c r="JG63" s="289"/>
      <c r="JH63" s="289"/>
      <c r="JI63" s="289"/>
      <c r="JJ63" s="289"/>
      <c r="JK63" s="289"/>
      <c r="JL63" s="289"/>
      <c r="JM63" s="289"/>
      <c r="JN63" s="289"/>
      <c r="JO63" s="289"/>
      <c r="JP63" s="289"/>
      <c r="JQ63" s="289"/>
      <c r="JR63" s="289"/>
      <c r="JS63" s="289"/>
      <c r="JT63" s="289"/>
      <c r="JU63" s="289"/>
      <c r="JV63" s="289"/>
      <c r="JW63" s="289"/>
      <c r="JX63" s="289"/>
      <c r="JY63" s="289"/>
      <c r="JZ63" s="289"/>
      <c r="KA63" s="289"/>
      <c r="KB63" s="289"/>
      <c r="KC63" s="289"/>
      <c r="KD63" s="289"/>
      <c r="KE63" s="289"/>
      <c r="KF63" s="289"/>
      <c r="KG63" s="289"/>
      <c r="KH63" s="289"/>
      <c r="KI63" s="289"/>
      <c r="KJ63" s="289"/>
      <c r="KK63" s="289"/>
      <c r="KL63" s="289"/>
      <c r="KM63" s="289"/>
      <c r="KN63" s="289"/>
      <c r="KO63" s="289"/>
      <c r="KP63" s="289"/>
      <c r="KQ63" s="289"/>
      <c r="KR63" s="289"/>
      <c r="KS63" s="289"/>
      <c r="KT63" s="289"/>
      <c r="KU63" s="289"/>
      <c r="KV63" s="289"/>
      <c r="KW63" s="289"/>
    </row>
    <row r="64" spans="1:309" s="294" customFormat="1" ht="15" customHeight="1" x14ac:dyDescent="0.25">
      <c r="A64" s="170" t="s">
        <v>342</v>
      </c>
      <c r="B64" s="170"/>
      <c r="C64" s="170"/>
      <c r="D64" s="170"/>
      <c r="E64" s="170"/>
      <c r="F64" s="287"/>
      <c r="G64" s="287"/>
      <c r="H64" s="287"/>
      <c r="I64" s="287"/>
      <c r="J64" s="287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117"/>
      <c r="AQ64" s="7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9"/>
      <c r="CL64" s="289"/>
      <c r="CM64" s="289"/>
      <c r="CN64" s="289"/>
      <c r="CO64" s="289"/>
      <c r="CP64" s="289"/>
      <c r="CQ64" s="289"/>
      <c r="CR64" s="289"/>
      <c r="CS64" s="289"/>
      <c r="CT64" s="289"/>
      <c r="CU64" s="289"/>
      <c r="CV64" s="289"/>
      <c r="CW64" s="289"/>
      <c r="CX64" s="289"/>
      <c r="CY64" s="289"/>
      <c r="CZ64" s="289"/>
      <c r="DA64" s="289"/>
      <c r="DB64" s="289"/>
      <c r="DC64" s="289"/>
      <c r="DD64" s="289"/>
      <c r="DE64" s="289"/>
      <c r="DF64" s="289"/>
      <c r="DG64" s="289"/>
      <c r="DH64" s="289"/>
      <c r="DI64" s="289"/>
      <c r="DJ64" s="289"/>
      <c r="DK64" s="289"/>
      <c r="DL64" s="289"/>
      <c r="DM64" s="289"/>
      <c r="DN64" s="289"/>
      <c r="DO64" s="289"/>
      <c r="DP64" s="289"/>
      <c r="DQ64" s="289"/>
      <c r="DR64" s="289"/>
      <c r="DS64" s="289"/>
      <c r="DT64" s="289"/>
      <c r="DU64" s="289"/>
      <c r="DV64" s="289"/>
      <c r="DW64" s="289"/>
      <c r="DX64" s="289"/>
      <c r="DY64" s="289"/>
      <c r="DZ64" s="289"/>
      <c r="EA64" s="289"/>
      <c r="EB64" s="289"/>
      <c r="EC64" s="289"/>
      <c r="ED64" s="289"/>
      <c r="EE64" s="289"/>
      <c r="EF64" s="289"/>
      <c r="EG64" s="289"/>
      <c r="EH64" s="289"/>
      <c r="EI64" s="289"/>
      <c r="EJ64" s="289"/>
      <c r="EK64" s="289"/>
      <c r="EL64" s="289"/>
      <c r="EM64" s="289"/>
      <c r="EN64" s="289"/>
      <c r="EO64" s="289"/>
      <c r="EP64" s="289"/>
      <c r="EQ64" s="289"/>
      <c r="ER64" s="289"/>
      <c r="ES64" s="289"/>
      <c r="ET64" s="289"/>
      <c r="EU64" s="289"/>
      <c r="EV64" s="289"/>
      <c r="EW64" s="289"/>
      <c r="EX64" s="289"/>
      <c r="EY64" s="289"/>
      <c r="EZ64" s="289"/>
      <c r="FA64" s="289"/>
      <c r="FB64" s="289"/>
      <c r="FC64" s="289"/>
      <c r="FD64" s="289"/>
      <c r="FE64" s="289"/>
      <c r="FF64" s="289"/>
      <c r="FG64" s="289"/>
      <c r="FH64" s="289"/>
      <c r="FI64" s="289"/>
      <c r="FJ64" s="289"/>
      <c r="FK64" s="289"/>
      <c r="FL64" s="289"/>
      <c r="FM64" s="289"/>
      <c r="FN64" s="289"/>
      <c r="FO64" s="289"/>
      <c r="FP64" s="289"/>
      <c r="FQ64" s="289"/>
      <c r="FR64" s="289"/>
      <c r="FS64" s="289"/>
      <c r="FT64" s="289"/>
      <c r="FU64" s="289"/>
      <c r="FV64" s="289"/>
      <c r="FW64" s="289"/>
      <c r="FX64" s="289"/>
      <c r="FY64" s="289"/>
      <c r="FZ64" s="289"/>
      <c r="GA64" s="289"/>
      <c r="GB64" s="289"/>
      <c r="GC64" s="289"/>
      <c r="GD64" s="289"/>
      <c r="GE64" s="289"/>
      <c r="GF64" s="289"/>
      <c r="GG64" s="289"/>
      <c r="GH64" s="289"/>
      <c r="GI64" s="289"/>
      <c r="GJ64" s="289"/>
      <c r="GK64" s="289"/>
      <c r="GL64" s="289"/>
      <c r="GM64" s="289"/>
      <c r="GN64" s="289"/>
      <c r="GO64" s="289"/>
      <c r="GP64" s="289"/>
      <c r="GQ64" s="289"/>
      <c r="GR64" s="289"/>
      <c r="GS64" s="289"/>
      <c r="GT64" s="289"/>
      <c r="GU64" s="289"/>
      <c r="GV64" s="289"/>
      <c r="GW64" s="289"/>
      <c r="GX64" s="289"/>
      <c r="GY64" s="289"/>
      <c r="GZ64" s="289"/>
      <c r="HA64" s="289"/>
      <c r="HB64" s="289"/>
      <c r="HC64" s="289"/>
      <c r="HD64" s="289"/>
      <c r="HE64" s="289"/>
      <c r="HF64" s="289"/>
      <c r="HG64" s="289"/>
      <c r="HH64" s="289"/>
      <c r="HI64" s="289"/>
      <c r="HJ64" s="289"/>
      <c r="HK64" s="289"/>
      <c r="HL64" s="289"/>
      <c r="HM64" s="289"/>
      <c r="HN64" s="289"/>
      <c r="HO64" s="289"/>
      <c r="HP64" s="289"/>
      <c r="HQ64" s="289"/>
      <c r="HR64" s="289"/>
      <c r="HS64" s="289"/>
      <c r="HT64" s="289"/>
      <c r="HU64" s="289"/>
      <c r="HV64" s="289"/>
      <c r="HW64" s="289"/>
      <c r="HX64" s="289"/>
      <c r="HY64" s="289"/>
      <c r="HZ64" s="289"/>
      <c r="IA64" s="289"/>
      <c r="IB64" s="289"/>
      <c r="IC64" s="289"/>
      <c r="ID64" s="289"/>
      <c r="IE64" s="289"/>
      <c r="IF64" s="289"/>
      <c r="IG64" s="289"/>
      <c r="IH64" s="289"/>
      <c r="II64" s="289"/>
      <c r="IJ64" s="289"/>
      <c r="IK64" s="289"/>
      <c r="IL64" s="289"/>
      <c r="IM64" s="289"/>
      <c r="IN64" s="289"/>
      <c r="IO64" s="289"/>
      <c r="IP64" s="289"/>
      <c r="IQ64" s="289"/>
      <c r="IR64" s="289"/>
      <c r="IS64" s="289"/>
      <c r="IT64" s="289"/>
      <c r="IU64" s="289"/>
      <c r="IV64" s="289"/>
      <c r="IW64" s="289"/>
      <c r="IX64" s="289"/>
      <c r="IY64" s="289"/>
      <c r="IZ64" s="289"/>
      <c r="JA64" s="289"/>
      <c r="JB64" s="289"/>
      <c r="JC64" s="289"/>
      <c r="JD64" s="289"/>
      <c r="JE64" s="289"/>
      <c r="JF64" s="289"/>
      <c r="JG64" s="289"/>
      <c r="JH64" s="289"/>
      <c r="JI64" s="289"/>
      <c r="JJ64" s="289"/>
      <c r="JK64" s="289"/>
      <c r="JL64" s="289"/>
      <c r="JM64" s="289"/>
      <c r="JN64" s="289"/>
      <c r="JO64" s="289"/>
      <c r="JP64" s="289"/>
      <c r="JQ64" s="289"/>
      <c r="JR64" s="289"/>
      <c r="JS64" s="289"/>
      <c r="JT64" s="289"/>
      <c r="JU64" s="289"/>
      <c r="JV64" s="289"/>
      <c r="JW64" s="289"/>
      <c r="JX64" s="289"/>
      <c r="JY64" s="289"/>
      <c r="JZ64" s="289"/>
      <c r="KA64" s="289"/>
      <c r="KB64" s="289"/>
      <c r="KC64" s="289"/>
      <c r="KD64" s="289"/>
      <c r="KE64" s="289"/>
      <c r="KF64" s="289"/>
      <c r="KG64" s="289"/>
      <c r="KH64" s="289"/>
      <c r="KI64" s="289"/>
      <c r="KJ64" s="289"/>
      <c r="KK64" s="289"/>
      <c r="KL64" s="289"/>
      <c r="KM64" s="289"/>
      <c r="KN64" s="289"/>
      <c r="KO64" s="289"/>
      <c r="KP64" s="289"/>
      <c r="KQ64" s="289"/>
      <c r="KR64" s="289"/>
      <c r="KS64" s="289"/>
      <c r="KT64" s="289"/>
      <c r="KU64" s="289"/>
      <c r="KV64" s="289"/>
      <c r="KW64" s="289"/>
    </row>
    <row r="65" spans="1:309" ht="15" customHeight="1" x14ac:dyDescent="0.25">
      <c r="A65" s="14"/>
      <c r="B65" s="14"/>
      <c r="C65" s="14"/>
      <c r="D65" s="14"/>
      <c r="E65" s="14"/>
      <c r="F65" s="373"/>
      <c r="G65" s="373"/>
      <c r="H65" s="373"/>
      <c r="I65" s="373"/>
      <c r="J65" s="373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9"/>
    </row>
    <row r="66" spans="1:309" ht="15" customHeight="1" x14ac:dyDescent="0.25">
      <c r="A66" s="35" t="s">
        <v>109</v>
      </c>
      <c r="B66" s="226">
        <f>(('[2]BANCO DE DADOS'!$B$427+'[2]BANCO DE DADOS'!$B$428)/'[2]BANCO DE DADOS'!$B$432)*100</f>
        <v>89.560943809395539</v>
      </c>
      <c r="C66" s="226">
        <v>89.594640845170019</v>
      </c>
      <c r="D66" s="226">
        <v>89.588877791310679</v>
      </c>
      <c r="E66" s="226">
        <v>89.598952216657494</v>
      </c>
      <c r="F66" s="226">
        <v>89.58277998739409</v>
      </c>
      <c r="G66" s="226">
        <v>89.573568223818484</v>
      </c>
      <c r="H66" s="226">
        <v>89.576277017512695</v>
      </c>
      <c r="I66" s="371">
        <v>89.573855990703919</v>
      </c>
      <c r="J66" s="226">
        <v>89.556489014713875</v>
      </c>
      <c r="K66" s="280">
        <v>89.552684929828274</v>
      </c>
      <c r="L66" s="280">
        <v>89.573213526608669</v>
      </c>
      <c r="M66" s="280">
        <v>89.5</v>
      </c>
      <c r="N66" s="280">
        <v>89.5</v>
      </c>
      <c r="O66" s="280">
        <v>89.5</v>
      </c>
      <c r="P66" s="280">
        <v>89.5</v>
      </c>
      <c r="Q66" s="280">
        <v>89.5</v>
      </c>
      <c r="R66" s="280">
        <v>89.5</v>
      </c>
      <c r="S66" s="280">
        <v>89.5</v>
      </c>
      <c r="T66" s="280">
        <v>96.7</v>
      </c>
      <c r="U66" s="280">
        <v>89.4</v>
      </c>
      <c r="V66" s="280">
        <v>89.3</v>
      </c>
      <c r="W66" s="280">
        <v>89.3</v>
      </c>
      <c r="X66" s="280">
        <v>89.3</v>
      </c>
      <c r="Y66" s="280">
        <v>89.3</v>
      </c>
      <c r="Z66" s="280">
        <v>89.2</v>
      </c>
      <c r="AA66" s="280">
        <v>89.2</v>
      </c>
      <c r="AB66" s="280">
        <v>89.2</v>
      </c>
      <c r="AC66" s="280">
        <v>89.2</v>
      </c>
      <c r="AD66" s="280">
        <v>89.1</v>
      </c>
      <c r="AE66" s="280">
        <v>89.1</v>
      </c>
      <c r="AF66" s="280">
        <v>89.1</v>
      </c>
      <c r="AG66" s="280">
        <v>89.1</v>
      </c>
      <c r="AH66" s="280">
        <v>89.1</v>
      </c>
      <c r="AI66" s="280">
        <v>89.1</v>
      </c>
      <c r="AJ66" s="280">
        <v>89</v>
      </c>
      <c r="AK66" s="280">
        <v>89</v>
      </c>
      <c r="AL66" s="280">
        <v>89</v>
      </c>
      <c r="AM66" s="280">
        <v>89</v>
      </c>
      <c r="AN66" s="280">
        <v>89</v>
      </c>
      <c r="AO66" s="280">
        <v>89.1</v>
      </c>
    </row>
    <row r="67" spans="1:309" ht="15" customHeight="1" x14ac:dyDescent="0.25">
      <c r="A67" s="18" t="s">
        <v>110</v>
      </c>
      <c r="B67" s="227">
        <f>('[2]BANCO DE DADOS'!$B$429/'[2]BANCO DE DADOS'!$B$432)*100</f>
        <v>8.3318389882497303</v>
      </c>
      <c r="C67" s="227">
        <v>8.2995243325806261</v>
      </c>
      <c r="D67" s="227">
        <v>8.2980051470304659</v>
      </c>
      <c r="E67" s="227">
        <v>8.2609037581794702</v>
      </c>
      <c r="F67" s="227">
        <v>8.2695031132419885</v>
      </c>
      <c r="G67" s="227">
        <v>8.3008984302593483</v>
      </c>
      <c r="H67" s="227">
        <v>8.2990317644447913</v>
      </c>
      <c r="I67" s="370">
        <v>8.300097254999498</v>
      </c>
      <c r="J67" s="227">
        <v>8.311145367129253</v>
      </c>
      <c r="K67" s="278">
        <v>8.3150621461782404</v>
      </c>
      <c r="L67" s="278">
        <v>8.2729059639180775</v>
      </c>
      <c r="M67" s="278">
        <v>8.3000000000000007</v>
      </c>
      <c r="N67" s="278">
        <v>8.3000000000000007</v>
      </c>
      <c r="O67" s="278">
        <v>8.3000000000000007</v>
      </c>
      <c r="P67" s="278">
        <v>8.3000000000000007</v>
      </c>
      <c r="Q67" s="278">
        <v>8.3000000000000007</v>
      </c>
      <c r="R67" s="278">
        <v>8.4</v>
      </c>
      <c r="S67" s="278">
        <v>8.4</v>
      </c>
      <c r="T67" s="278">
        <v>0.9</v>
      </c>
      <c r="U67" s="278">
        <v>8.4</v>
      </c>
      <c r="V67" s="278">
        <v>8.5</v>
      </c>
      <c r="W67" s="278">
        <v>8.5</v>
      </c>
      <c r="X67" s="278">
        <v>8.5</v>
      </c>
      <c r="Y67" s="278">
        <v>8.5</v>
      </c>
      <c r="Z67" s="278">
        <v>8.6</v>
      </c>
      <c r="AA67" s="278">
        <v>8.6</v>
      </c>
      <c r="AB67" s="278">
        <v>8.6</v>
      </c>
      <c r="AC67" s="278">
        <v>8.6999999999999993</v>
      </c>
      <c r="AD67" s="278">
        <v>8.8000000000000007</v>
      </c>
      <c r="AE67" s="278">
        <v>8.8000000000000007</v>
      </c>
      <c r="AF67" s="278">
        <v>8.8000000000000007</v>
      </c>
      <c r="AG67" s="278">
        <v>8.8000000000000007</v>
      </c>
      <c r="AH67" s="278">
        <v>8.8000000000000007</v>
      </c>
      <c r="AI67" s="278">
        <v>8.8000000000000007</v>
      </c>
      <c r="AJ67" s="278">
        <v>8.8000000000000007</v>
      </c>
      <c r="AK67" s="278">
        <v>8.8000000000000007</v>
      </c>
      <c r="AL67" s="278">
        <v>8.8000000000000007</v>
      </c>
      <c r="AM67" s="278">
        <v>8.8000000000000007</v>
      </c>
      <c r="AN67" s="278">
        <v>8.6999999999999993</v>
      </c>
      <c r="AO67" s="278">
        <v>8.6</v>
      </c>
      <c r="AP67" s="9"/>
    </row>
    <row r="68" spans="1:309" ht="15" customHeight="1" x14ac:dyDescent="0.25">
      <c r="A68" s="35" t="s">
        <v>111</v>
      </c>
      <c r="B68" s="226">
        <f>('[2]BANCO DE DADOS'!$B$430/'[2]BANCO DE DADOS'!$B$432)*100</f>
        <v>0.68746540843748183</v>
      </c>
      <c r="C68" s="226">
        <v>0.68388623581601249</v>
      </c>
      <c r="D68" s="226">
        <v>0.67547297045313304</v>
      </c>
      <c r="E68" s="226">
        <v>0.668209637001557</v>
      </c>
      <c r="F68" s="226">
        <v>0.67138051476336402</v>
      </c>
      <c r="G68" s="226">
        <v>0.67825418406874205</v>
      </c>
      <c r="H68" s="226">
        <v>0.67680547197001195</v>
      </c>
      <c r="I68" s="371">
        <v>0.67752049301775163</v>
      </c>
      <c r="J68" s="226">
        <v>0.68075384736603561</v>
      </c>
      <c r="K68" s="280">
        <v>0.67970577924125619</v>
      </c>
      <c r="L68" s="280">
        <v>0.67231774354606488</v>
      </c>
      <c r="M68" s="280">
        <v>0.7</v>
      </c>
      <c r="N68" s="280">
        <v>0.7</v>
      </c>
      <c r="O68" s="280">
        <v>0.7</v>
      </c>
      <c r="P68" s="280">
        <v>0.7</v>
      </c>
      <c r="Q68" s="280">
        <v>0.7</v>
      </c>
      <c r="R68" s="280">
        <v>0.7</v>
      </c>
      <c r="S68" s="280">
        <v>0.7</v>
      </c>
      <c r="T68" s="280">
        <v>0.8</v>
      </c>
      <c r="U68" s="280">
        <v>0.7</v>
      </c>
      <c r="V68" s="280">
        <v>0.7</v>
      </c>
      <c r="W68" s="280">
        <v>0.7</v>
      </c>
      <c r="X68" s="280">
        <v>0.7</v>
      </c>
      <c r="Y68" s="280">
        <v>0.7</v>
      </c>
      <c r="Z68" s="280">
        <v>0.7</v>
      </c>
      <c r="AA68" s="280">
        <v>0.7</v>
      </c>
      <c r="AB68" s="280">
        <v>0.7</v>
      </c>
      <c r="AC68" s="280">
        <v>0.7</v>
      </c>
      <c r="AD68" s="280">
        <v>0.6</v>
      </c>
      <c r="AE68" s="280">
        <v>0.6</v>
      </c>
      <c r="AF68" s="280">
        <v>0.6</v>
      </c>
      <c r="AG68" s="280">
        <v>0.6</v>
      </c>
      <c r="AH68" s="280">
        <v>0.6</v>
      </c>
      <c r="AI68" s="280">
        <v>0.6</v>
      </c>
      <c r="AJ68" s="280">
        <v>0.6</v>
      </c>
      <c r="AK68" s="280">
        <v>0.6</v>
      </c>
      <c r="AL68" s="280">
        <v>0.6</v>
      </c>
      <c r="AM68" s="280">
        <v>0.6</v>
      </c>
      <c r="AN68" s="280">
        <v>0.8</v>
      </c>
      <c r="AO68" s="280">
        <v>0.8</v>
      </c>
    </row>
    <row r="69" spans="1:309" ht="15" customHeight="1" x14ac:dyDescent="0.25">
      <c r="A69" s="18" t="s">
        <v>114</v>
      </c>
      <c r="B69" s="227">
        <f>('[2]BANCO DE DADOS'!$B$431/'[2]BANCO DE DADOS'!$B$432)*100</f>
        <v>1.4197517939172601</v>
      </c>
      <c r="C69" s="227">
        <v>1.4219485864333428</v>
      </c>
      <c r="D69" s="227">
        <v>1.437644091205716</v>
      </c>
      <c r="E69" s="227">
        <v>1.4719343881614599</v>
      </c>
      <c r="F69" s="227">
        <v>1.4763363846005759</v>
      </c>
      <c r="G69" s="227">
        <v>1.4472791618534293</v>
      </c>
      <c r="H69" s="227">
        <v>1.4478857460724499</v>
      </c>
      <c r="I69" s="370">
        <v>1.4485262612788108</v>
      </c>
      <c r="J69" s="227">
        <v>1.4516117707908334</v>
      </c>
      <c r="K69" s="278">
        <v>1.4525471447522365</v>
      </c>
      <c r="L69" s="278">
        <v>1.4815627659271888</v>
      </c>
      <c r="M69" s="278">
        <v>1.5</v>
      </c>
      <c r="N69" s="278">
        <v>1.5</v>
      </c>
      <c r="O69" s="278">
        <v>1.5</v>
      </c>
      <c r="P69" s="278">
        <v>1.5</v>
      </c>
      <c r="Q69" s="278">
        <v>1.5</v>
      </c>
      <c r="R69" s="278">
        <v>1.5</v>
      </c>
      <c r="S69" s="278">
        <v>1.5</v>
      </c>
      <c r="T69" s="278">
        <v>1.6</v>
      </c>
      <c r="U69" s="278">
        <v>1.5</v>
      </c>
      <c r="V69" s="278">
        <v>1.5</v>
      </c>
      <c r="W69" s="278">
        <v>1.5</v>
      </c>
      <c r="X69" s="278">
        <v>1.5</v>
      </c>
      <c r="Y69" s="278">
        <v>1.5</v>
      </c>
      <c r="Z69" s="278">
        <v>1.5</v>
      </c>
      <c r="AA69" s="278">
        <v>1.5</v>
      </c>
      <c r="AB69" s="278">
        <v>1.5</v>
      </c>
      <c r="AC69" s="278">
        <v>1.5</v>
      </c>
      <c r="AD69" s="278">
        <v>1.5</v>
      </c>
      <c r="AE69" s="278">
        <v>1.5</v>
      </c>
      <c r="AF69" s="278">
        <v>1.5</v>
      </c>
      <c r="AG69" s="278">
        <v>1.5</v>
      </c>
      <c r="AH69" s="278">
        <v>1.5</v>
      </c>
      <c r="AI69" s="278">
        <v>1.5</v>
      </c>
      <c r="AJ69" s="278">
        <v>1.5</v>
      </c>
      <c r="AK69" s="278">
        <v>1.5</v>
      </c>
      <c r="AL69" s="278">
        <v>1.5</v>
      </c>
      <c r="AM69" s="278">
        <v>1.5</v>
      </c>
      <c r="AN69" s="278">
        <v>1.5</v>
      </c>
      <c r="AO69" s="278">
        <v>1.5</v>
      </c>
      <c r="AP69" s="9"/>
    </row>
    <row r="70" spans="1:309" ht="15" customHeight="1" x14ac:dyDescent="0.25">
      <c r="A70" s="35" t="s">
        <v>113</v>
      </c>
      <c r="B70" s="226">
        <f t="shared" ref="B70:G70" si="2">SUM(B66:B69)</f>
        <v>100</v>
      </c>
      <c r="C70" s="226">
        <f t="shared" si="2"/>
        <v>100.00000000000001</v>
      </c>
      <c r="D70" s="226">
        <f t="shared" si="2"/>
        <v>99.999999999999986</v>
      </c>
      <c r="E70" s="226">
        <f t="shared" si="2"/>
        <v>99.999999999999972</v>
      </c>
      <c r="F70" s="226">
        <f t="shared" si="2"/>
        <v>100.00000000000001</v>
      </c>
      <c r="G70" s="226">
        <f t="shared" si="2"/>
        <v>100.00000000000001</v>
      </c>
      <c r="H70" s="226">
        <v>100</v>
      </c>
      <c r="I70" s="371">
        <v>99.999999999999986</v>
      </c>
      <c r="J70" s="226">
        <v>100</v>
      </c>
      <c r="K70" s="280">
        <v>100</v>
      </c>
      <c r="L70" s="280">
        <v>100</v>
      </c>
      <c r="M70" s="280">
        <v>100</v>
      </c>
      <c r="N70" s="280">
        <v>100</v>
      </c>
      <c r="O70" s="280">
        <v>100</v>
      </c>
      <c r="P70" s="280">
        <v>100</v>
      </c>
      <c r="Q70" s="280">
        <v>-100</v>
      </c>
      <c r="R70" s="280">
        <v>100</v>
      </c>
      <c r="S70" s="280">
        <v>100</v>
      </c>
      <c r="T70" s="280">
        <v>100</v>
      </c>
      <c r="U70" s="280">
        <v>100</v>
      </c>
      <c r="V70" s="280">
        <v>100</v>
      </c>
      <c r="W70" s="280">
        <v>100</v>
      </c>
      <c r="X70" s="280">
        <v>100</v>
      </c>
      <c r="Y70" s="280">
        <v>100</v>
      </c>
      <c r="Z70" s="280">
        <v>100</v>
      </c>
      <c r="AA70" s="280">
        <v>100</v>
      </c>
      <c r="AB70" s="280">
        <v>100</v>
      </c>
      <c r="AC70" s="280">
        <v>100</v>
      </c>
      <c r="AD70" s="280">
        <v>100</v>
      </c>
      <c r="AE70" s="280">
        <v>100</v>
      </c>
      <c r="AF70" s="280">
        <v>100</v>
      </c>
      <c r="AG70" s="280">
        <v>100</v>
      </c>
      <c r="AH70" s="280">
        <v>100</v>
      </c>
      <c r="AI70" s="280">
        <v>100</v>
      </c>
      <c r="AJ70" s="280">
        <v>100</v>
      </c>
      <c r="AK70" s="280">
        <v>100</v>
      </c>
      <c r="AL70" s="280">
        <v>100</v>
      </c>
      <c r="AM70" s="280">
        <v>100</v>
      </c>
      <c r="AN70" s="280">
        <v>100</v>
      </c>
      <c r="AO70" s="280">
        <v>100</v>
      </c>
    </row>
    <row r="71" spans="1:309" ht="15" customHeight="1" x14ac:dyDescent="0.25">
      <c r="A71" s="18"/>
      <c r="B71" s="18"/>
      <c r="C71" s="18"/>
      <c r="D71" s="18"/>
      <c r="E71" s="18"/>
      <c r="F71" s="227"/>
      <c r="G71" s="227"/>
      <c r="H71" s="227"/>
      <c r="I71" s="370"/>
      <c r="J71" s="227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9"/>
    </row>
    <row r="72" spans="1:309" s="294" customFormat="1" ht="15" customHeight="1" x14ac:dyDescent="0.25">
      <c r="A72" s="170" t="s">
        <v>134</v>
      </c>
      <c r="B72" s="170"/>
      <c r="C72" s="170"/>
      <c r="D72" s="170"/>
      <c r="E72" s="170"/>
      <c r="F72" s="287"/>
      <c r="G72" s="287"/>
      <c r="H72" s="287"/>
      <c r="I72" s="287"/>
      <c r="J72" s="287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117"/>
      <c r="AQ72" s="7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89"/>
      <c r="BJ72" s="289"/>
      <c r="BK72" s="289"/>
      <c r="BL72" s="289"/>
      <c r="BM72" s="289"/>
      <c r="BN72" s="289"/>
      <c r="BO72" s="289"/>
      <c r="BP72" s="289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289"/>
      <c r="DI72" s="289"/>
      <c r="DJ72" s="289"/>
      <c r="DK72" s="289"/>
      <c r="DL72" s="289"/>
      <c r="DM72" s="289"/>
      <c r="DN72" s="289"/>
      <c r="DO72" s="289"/>
      <c r="DP72" s="289"/>
      <c r="DQ72" s="289"/>
      <c r="DR72" s="289"/>
      <c r="DS72" s="289"/>
      <c r="DT72" s="289"/>
      <c r="DU72" s="289"/>
      <c r="DV72" s="289"/>
      <c r="DW72" s="289"/>
      <c r="DX72" s="289"/>
      <c r="DY72" s="289"/>
      <c r="DZ72" s="289"/>
      <c r="EA72" s="289"/>
      <c r="EB72" s="289"/>
      <c r="EC72" s="289"/>
      <c r="ED72" s="289"/>
      <c r="EE72" s="289"/>
      <c r="EF72" s="289"/>
      <c r="EG72" s="289"/>
      <c r="EH72" s="289"/>
      <c r="EI72" s="289"/>
      <c r="EJ72" s="289"/>
      <c r="EK72" s="289"/>
      <c r="EL72" s="289"/>
      <c r="EM72" s="289"/>
      <c r="EN72" s="289"/>
      <c r="EO72" s="289"/>
      <c r="EP72" s="289"/>
      <c r="EQ72" s="289"/>
      <c r="ER72" s="289"/>
      <c r="ES72" s="289"/>
      <c r="ET72" s="289"/>
      <c r="EU72" s="289"/>
      <c r="EV72" s="289"/>
      <c r="EW72" s="289"/>
      <c r="EX72" s="289"/>
      <c r="EY72" s="289"/>
      <c r="EZ72" s="289"/>
      <c r="FA72" s="289"/>
      <c r="FB72" s="289"/>
      <c r="FC72" s="289"/>
      <c r="FD72" s="289"/>
      <c r="FE72" s="289"/>
      <c r="FF72" s="289"/>
      <c r="FG72" s="289"/>
      <c r="FH72" s="289"/>
      <c r="FI72" s="289"/>
      <c r="FJ72" s="289"/>
      <c r="FK72" s="289"/>
      <c r="FL72" s="289"/>
      <c r="FM72" s="289"/>
      <c r="FN72" s="289"/>
      <c r="FO72" s="289"/>
      <c r="FP72" s="289"/>
      <c r="FQ72" s="289"/>
      <c r="FR72" s="289"/>
      <c r="FS72" s="289"/>
      <c r="FT72" s="289"/>
      <c r="FU72" s="289"/>
      <c r="FV72" s="289"/>
      <c r="FW72" s="289"/>
      <c r="FX72" s="289"/>
      <c r="FY72" s="289"/>
      <c r="FZ72" s="289"/>
      <c r="GA72" s="289"/>
      <c r="GB72" s="289"/>
      <c r="GC72" s="289"/>
      <c r="GD72" s="289"/>
      <c r="GE72" s="289"/>
      <c r="GF72" s="289"/>
      <c r="GG72" s="289"/>
      <c r="GH72" s="289"/>
      <c r="GI72" s="289"/>
      <c r="GJ72" s="289"/>
      <c r="GK72" s="289"/>
      <c r="GL72" s="289"/>
      <c r="GM72" s="289"/>
      <c r="GN72" s="289"/>
      <c r="GO72" s="289"/>
      <c r="GP72" s="289"/>
      <c r="GQ72" s="289"/>
      <c r="GR72" s="289"/>
      <c r="GS72" s="289"/>
      <c r="GT72" s="289"/>
      <c r="GU72" s="289"/>
      <c r="GV72" s="289"/>
      <c r="GW72" s="289"/>
      <c r="GX72" s="289"/>
      <c r="GY72" s="289"/>
      <c r="GZ72" s="289"/>
      <c r="HA72" s="289"/>
      <c r="HB72" s="289"/>
      <c r="HC72" s="289"/>
      <c r="HD72" s="289"/>
      <c r="HE72" s="289"/>
      <c r="HF72" s="289"/>
      <c r="HG72" s="289"/>
      <c r="HH72" s="289"/>
      <c r="HI72" s="289"/>
      <c r="HJ72" s="289"/>
      <c r="HK72" s="289"/>
      <c r="HL72" s="289"/>
      <c r="HM72" s="289"/>
      <c r="HN72" s="289"/>
      <c r="HO72" s="289"/>
      <c r="HP72" s="289"/>
      <c r="HQ72" s="289"/>
      <c r="HR72" s="289"/>
      <c r="HS72" s="289"/>
      <c r="HT72" s="289"/>
      <c r="HU72" s="289"/>
      <c r="HV72" s="289"/>
      <c r="HW72" s="289"/>
      <c r="HX72" s="289"/>
      <c r="HY72" s="289"/>
      <c r="HZ72" s="289"/>
      <c r="IA72" s="289"/>
      <c r="IB72" s="289"/>
      <c r="IC72" s="289"/>
      <c r="ID72" s="289"/>
      <c r="IE72" s="289"/>
      <c r="IF72" s="289"/>
      <c r="IG72" s="289"/>
      <c r="IH72" s="289"/>
      <c r="II72" s="289"/>
      <c r="IJ72" s="289"/>
      <c r="IK72" s="289"/>
      <c r="IL72" s="289"/>
      <c r="IM72" s="289"/>
      <c r="IN72" s="289"/>
      <c r="IO72" s="289"/>
      <c r="IP72" s="289"/>
      <c r="IQ72" s="289"/>
      <c r="IR72" s="289"/>
      <c r="IS72" s="289"/>
      <c r="IT72" s="289"/>
      <c r="IU72" s="289"/>
      <c r="IV72" s="289"/>
      <c r="IW72" s="289"/>
      <c r="IX72" s="289"/>
      <c r="IY72" s="289"/>
      <c r="IZ72" s="289"/>
      <c r="JA72" s="289"/>
      <c r="JB72" s="289"/>
      <c r="JC72" s="289"/>
      <c r="JD72" s="289"/>
      <c r="JE72" s="289"/>
      <c r="JF72" s="289"/>
      <c r="JG72" s="289"/>
      <c r="JH72" s="289"/>
      <c r="JI72" s="289"/>
      <c r="JJ72" s="289"/>
      <c r="JK72" s="289"/>
      <c r="JL72" s="289"/>
      <c r="JM72" s="289"/>
      <c r="JN72" s="289"/>
      <c r="JO72" s="289"/>
      <c r="JP72" s="289"/>
      <c r="JQ72" s="289"/>
      <c r="JR72" s="289"/>
      <c r="JS72" s="289"/>
      <c r="JT72" s="289"/>
      <c r="JU72" s="289"/>
      <c r="JV72" s="289"/>
      <c r="JW72" s="289"/>
      <c r="JX72" s="289"/>
      <c r="JY72" s="289"/>
      <c r="JZ72" s="289"/>
      <c r="KA72" s="289"/>
      <c r="KB72" s="289"/>
      <c r="KC72" s="289"/>
      <c r="KD72" s="289"/>
      <c r="KE72" s="289"/>
      <c r="KF72" s="289"/>
      <c r="KG72" s="289"/>
      <c r="KH72" s="289"/>
      <c r="KI72" s="289"/>
      <c r="KJ72" s="289"/>
      <c r="KK72" s="289"/>
      <c r="KL72" s="289"/>
      <c r="KM72" s="289"/>
      <c r="KN72" s="289"/>
      <c r="KO72" s="289"/>
      <c r="KP72" s="289"/>
      <c r="KQ72" s="289"/>
      <c r="KR72" s="289"/>
      <c r="KS72" s="289"/>
      <c r="KT72" s="289"/>
      <c r="KU72" s="289"/>
      <c r="KV72" s="289"/>
      <c r="KW72" s="289"/>
    </row>
    <row r="73" spans="1:309" s="293" customFormat="1" ht="15" customHeight="1" x14ac:dyDescent="0.25">
      <c r="A73" s="34"/>
      <c r="B73" s="34"/>
      <c r="C73" s="34"/>
      <c r="D73" s="34"/>
      <c r="E73" s="34"/>
      <c r="F73" s="288"/>
      <c r="G73" s="288"/>
      <c r="H73" s="288"/>
      <c r="I73" s="288"/>
      <c r="J73" s="288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5"/>
      <c r="AQ73" s="7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89"/>
      <c r="FF73" s="289"/>
      <c r="FG73" s="289"/>
      <c r="FH73" s="289"/>
      <c r="FI73" s="289"/>
      <c r="FJ73" s="289"/>
      <c r="FK73" s="289"/>
      <c r="FL73" s="289"/>
      <c r="FM73" s="289"/>
      <c r="FN73" s="289"/>
      <c r="FO73" s="289"/>
      <c r="FP73" s="289"/>
      <c r="FQ73" s="289"/>
      <c r="FR73" s="289"/>
      <c r="FS73" s="289"/>
      <c r="FT73" s="289"/>
      <c r="FU73" s="289"/>
      <c r="FV73" s="289"/>
      <c r="FW73" s="289"/>
      <c r="FX73" s="289"/>
      <c r="FY73" s="289"/>
      <c r="FZ73" s="289"/>
      <c r="GA73" s="289"/>
      <c r="GB73" s="289"/>
      <c r="GC73" s="289"/>
      <c r="GD73" s="289"/>
      <c r="GE73" s="289"/>
      <c r="GF73" s="289"/>
      <c r="GG73" s="289"/>
      <c r="GH73" s="289"/>
      <c r="GI73" s="289"/>
      <c r="GJ73" s="289"/>
      <c r="GK73" s="289"/>
      <c r="GL73" s="289"/>
      <c r="GM73" s="289"/>
      <c r="GN73" s="289"/>
      <c r="GO73" s="289"/>
      <c r="GP73" s="289"/>
      <c r="GQ73" s="289"/>
      <c r="GR73" s="289"/>
      <c r="GS73" s="289"/>
      <c r="GT73" s="289"/>
      <c r="GU73" s="289"/>
      <c r="GV73" s="289"/>
      <c r="GW73" s="289"/>
      <c r="GX73" s="289"/>
      <c r="GY73" s="289"/>
      <c r="GZ73" s="289"/>
      <c r="HA73" s="289"/>
      <c r="HB73" s="289"/>
      <c r="HC73" s="289"/>
      <c r="HD73" s="289"/>
      <c r="HE73" s="289"/>
      <c r="HF73" s="289"/>
      <c r="HG73" s="289"/>
      <c r="HH73" s="289"/>
      <c r="HI73" s="289"/>
      <c r="HJ73" s="289"/>
      <c r="HK73" s="289"/>
      <c r="HL73" s="289"/>
      <c r="HM73" s="289"/>
      <c r="HN73" s="289"/>
      <c r="HO73" s="289"/>
      <c r="HP73" s="289"/>
      <c r="HQ73" s="289"/>
      <c r="HR73" s="289"/>
      <c r="HS73" s="289"/>
      <c r="HT73" s="289"/>
      <c r="HU73" s="289"/>
      <c r="HV73" s="289"/>
      <c r="HW73" s="289"/>
      <c r="HX73" s="289"/>
      <c r="HY73" s="289"/>
      <c r="HZ73" s="289"/>
      <c r="IA73" s="289"/>
      <c r="IB73" s="289"/>
      <c r="IC73" s="289"/>
      <c r="ID73" s="289"/>
      <c r="IE73" s="289"/>
      <c r="IF73" s="289"/>
      <c r="IG73" s="289"/>
      <c r="IH73" s="289"/>
      <c r="II73" s="289"/>
      <c r="IJ73" s="289"/>
      <c r="IK73" s="289"/>
      <c r="IL73" s="289"/>
      <c r="IM73" s="289"/>
      <c r="IN73" s="289"/>
      <c r="IO73" s="289"/>
      <c r="IP73" s="289"/>
      <c r="IQ73" s="289"/>
      <c r="IR73" s="289"/>
      <c r="IS73" s="289"/>
      <c r="IT73" s="289"/>
      <c r="IU73" s="289"/>
      <c r="IV73" s="289"/>
      <c r="IW73" s="289"/>
      <c r="IX73" s="289"/>
      <c r="IY73" s="289"/>
      <c r="IZ73" s="289"/>
      <c r="JA73" s="289"/>
      <c r="JB73" s="289"/>
      <c r="JC73" s="289"/>
      <c r="JD73" s="289"/>
      <c r="JE73" s="289"/>
      <c r="JF73" s="289"/>
      <c r="JG73" s="289"/>
      <c r="JH73" s="289"/>
      <c r="JI73" s="289"/>
      <c r="JJ73" s="289"/>
      <c r="JK73" s="289"/>
      <c r="JL73" s="289"/>
      <c r="JM73" s="289"/>
      <c r="JN73" s="289"/>
      <c r="JO73" s="289"/>
      <c r="JP73" s="289"/>
      <c r="JQ73" s="289"/>
      <c r="JR73" s="289"/>
      <c r="JS73" s="289"/>
      <c r="JT73" s="289"/>
      <c r="JU73" s="289"/>
      <c r="JV73" s="289"/>
      <c r="JW73" s="289"/>
      <c r="JX73" s="289"/>
      <c r="JY73" s="289"/>
      <c r="JZ73" s="289"/>
      <c r="KA73" s="289"/>
      <c r="KB73" s="289"/>
      <c r="KC73" s="289"/>
      <c r="KD73" s="289"/>
      <c r="KE73" s="289"/>
      <c r="KF73" s="289"/>
      <c r="KG73" s="289"/>
      <c r="KH73" s="289"/>
      <c r="KI73" s="289"/>
      <c r="KJ73" s="289"/>
      <c r="KK73" s="289"/>
      <c r="KL73" s="289"/>
      <c r="KM73" s="289"/>
      <c r="KN73" s="289"/>
      <c r="KO73" s="289"/>
      <c r="KP73" s="289"/>
      <c r="KQ73" s="289"/>
      <c r="KR73" s="289"/>
      <c r="KS73" s="289"/>
      <c r="KT73" s="289"/>
      <c r="KU73" s="289"/>
      <c r="KV73" s="289"/>
      <c r="KW73" s="289"/>
    </row>
    <row r="74" spans="1:309" ht="15" customHeight="1" x14ac:dyDescent="0.25">
      <c r="A74" s="18" t="s">
        <v>109</v>
      </c>
      <c r="B74" s="227">
        <f>(('[2]BANCO DE DADOS'!$B$468+'[2]BANCO DE DADOS'!$B$469)/'[2]BANCO DE DADOS'!$B$473)*100</f>
        <v>89.236403540629723</v>
      </c>
      <c r="C74" s="227">
        <v>89.266865288755312</v>
      </c>
      <c r="D74" s="227">
        <v>89.244588994103594</v>
      </c>
      <c r="E74" s="227">
        <v>89.238443494495399</v>
      </c>
      <c r="F74" s="227">
        <v>89.220477467960052</v>
      </c>
      <c r="G74" s="227">
        <v>89.227313857737585</v>
      </c>
      <c r="H74" s="227">
        <v>89.213351915118196</v>
      </c>
      <c r="I74" s="370">
        <v>89.201782842736833</v>
      </c>
      <c r="J74" s="227">
        <v>89.185197486441851</v>
      </c>
      <c r="K74" s="278">
        <v>89.162380570934019</v>
      </c>
      <c r="L74" s="278">
        <v>89.161162819299122</v>
      </c>
      <c r="M74" s="278">
        <v>89.1</v>
      </c>
      <c r="N74" s="278">
        <v>89.1</v>
      </c>
      <c r="O74" s="278">
        <v>89.1</v>
      </c>
      <c r="P74" s="278">
        <v>89.1</v>
      </c>
      <c r="Q74" s="278">
        <v>88.5</v>
      </c>
      <c r="R74" s="278">
        <v>89</v>
      </c>
      <c r="S74" s="278">
        <v>89</v>
      </c>
      <c r="T74" s="278">
        <v>89</v>
      </c>
      <c r="U74" s="278">
        <v>88.9</v>
      </c>
      <c r="V74" s="278">
        <v>88.9</v>
      </c>
      <c r="W74" s="278">
        <v>88.8</v>
      </c>
      <c r="X74" s="278">
        <v>88.8</v>
      </c>
      <c r="Y74" s="278">
        <v>88.7</v>
      </c>
      <c r="Z74" s="278">
        <v>88.7</v>
      </c>
      <c r="AA74" s="278">
        <v>88.7</v>
      </c>
      <c r="AB74" s="278">
        <v>88.6</v>
      </c>
      <c r="AC74" s="278">
        <v>88.6</v>
      </c>
      <c r="AD74" s="278">
        <v>88.5</v>
      </c>
      <c r="AE74" s="278">
        <v>88.5</v>
      </c>
      <c r="AF74" s="278">
        <v>88.5</v>
      </c>
      <c r="AG74" s="278">
        <v>88.4</v>
      </c>
      <c r="AH74" s="278">
        <v>88.4</v>
      </c>
      <c r="AI74" s="278">
        <v>88.4</v>
      </c>
      <c r="AJ74" s="278">
        <v>88.3</v>
      </c>
      <c r="AK74" s="278">
        <v>88.3</v>
      </c>
      <c r="AL74" s="278">
        <v>88.4</v>
      </c>
      <c r="AM74" s="278">
        <v>88.4</v>
      </c>
      <c r="AN74" s="278">
        <v>88.4</v>
      </c>
      <c r="AO74" s="278">
        <v>88.4</v>
      </c>
      <c r="AP74" s="9"/>
    </row>
    <row r="75" spans="1:309" ht="15" customHeight="1" x14ac:dyDescent="0.25">
      <c r="A75" s="35" t="s">
        <v>110</v>
      </c>
      <c r="B75" s="226">
        <f>('[2]BANCO DE DADOS'!$B$470/'[2]BANCO DE DADOS'!$B$473)*100</f>
        <v>9.0548104912707927</v>
      </c>
      <c r="C75" s="226">
        <v>9.0255128644065117</v>
      </c>
      <c r="D75" s="226">
        <v>9.0404658422480448</v>
      </c>
      <c r="E75" s="226">
        <v>9.02334682352482</v>
      </c>
      <c r="F75" s="226">
        <v>9.0351855450093783</v>
      </c>
      <c r="G75" s="226">
        <v>9.0487575946441421</v>
      </c>
      <c r="H75" s="226">
        <v>9.0622142451558592</v>
      </c>
      <c r="I75" s="371">
        <v>9.0700475938774989</v>
      </c>
      <c r="J75" s="226">
        <v>9.0794588348887615</v>
      </c>
      <c r="K75" s="280">
        <v>9.1101312047912248</v>
      </c>
      <c r="L75" s="280">
        <v>9.0854737342003151</v>
      </c>
      <c r="M75" s="280">
        <v>9.1</v>
      </c>
      <c r="N75" s="280">
        <v>9.1</v>
      </c>
      <c r="O75" s="280">
        <v>9.1999999999999993</v>
      </c>
      <c r="P75" s="280">
        <v>9.1999999999999993</v>
      </c>
      <c r="Q75" s="280">
        <v>9.1</v>
      </c>
      <c r="R75" s="280">
        <v>9.1999999999999993</v>
      </c>
      <c r="S75" s="280">
        <v>9.1999999999999993</v>
      </c>
      <c r="T75" s="280">
        <v>9</v>
      </c>
      <c r="U75" s="280">
        <v>9.3000000000000007</v>
      </c>
      <c r="V75" s="280">
        <v>9.3000000000000007</v>
      </c>
      <c r="W75" s="280">
        <v>9.4</v>
      </c>
      <c r="X75" s="280">
        <v>9.4</v>
      </c>
      <c r="Y75" s="280">
        <v>9.5</v>
      </c>
      <c r="Z75" s="280">
        <v>9.5</v>
      </c>
      <c r="AA75" s="280">
        <v>9.5</v>
      </c>
      <c r="AB75" s="280">
        <v>9.6</v>
      </c>
      <c r="AC75" s="280">
        <v>9.6999999999999993</v>
      </c>
      <c r="AD75" s="280">
        <v>9.8000000000000007</v>
      </c>
      <c r="AE75" s="280">
        <v>9.9</v>
      </c>
      <c r="AF75" s="280">
        <v>9.9</v>
      </c>
      <c r="AG75" s="280">
        <v>9.9</v>
      </c>
      <c r="AH75" s="280">
        <v>9.9</v>
      </c>
      <c r="AI75" s="280">
        <v>9.9</v>
      </c>
      <c r="AJ75" s="280">
        <v>10</v>
      </c>
      <c r="AK75" s="280">
        <v>10</v>
      </c>
      <c r="AL75" s="280">
        <v>9.9</v>
      </c>
      <c r="AM75" s="280">
        <v>9.9</v>
      </c>
      <c r="AN75" s="280">
        <v>9.6999999999999993</v>
      </c>
      <c r="AO75" s="280">
        <v>9.8000000000000007</v>
      </c>
    </row>
    <row r="76" spans="1:309" ht="15" customHeight="1" x14ac:dyDescent="0.25">
      <c r="A76" s="18" t="s">
        <v>111</v>
      </c>
      <c r="B76" s="227">
        <f>('[2]BANCO DE DADOS'!$B$471/'[2]BANCO DE DADOS'!$B$473)*100</f>
        <v>0.61588300581077238</v>
      </c>
      <c r="C76" s="227">
        <v>0.61284915988933442</v>
      </c>
      <c r="D76" s="227">
        <v>0.60819652425488946</v>
      </c>
      <c r="E76" s="227">
        <v>0.60487636671886902</v>
      </c>
      <c r="F76" s="227">
        <v>0.60759792675950841</v>
      </c>
      <c r="G76" s="227">
        <v>0.61122310182653228</v>
      </c>
      <c r="H76" s="227">
        <v>0.61183925678804507</v>
      </c>
      <c r="I76" s="370">
        <v>0.61478684446669485</v>
      </c>
      <c r="J76" s="227">
        <v>0.6195532069298173</v>
      </c>
      <c r="K76" s="278">
        <v>0.61164750751564345</v>
      </c>
      <c r="L76" s="278">
        <v>0.60925055365111502</v>
      </c>
      <c r="M76" s="278">
        <v>0.6</v>
      </c>
      <c r="N76" s="278">
        <v>0.6</v>
      </c>
      <c r="O76" s="278">
        <v>0.6</v>
      </c>
      <c r="P76" s="278">
        <v>0.6</v>
      </c>
      <c r="Q76" s="278">
        <v>1.2</v>
      </c>
      <c r="R76" s="278">
        <v>0.6</v>
      </c>
      <c r="S76" s="278">
        <v>0.6</v>
      </c>
      <c r="T76" s="278">
        <v>0.6</v>
      </c>
      <c r="U76" s="278">
        <v>0.7</v>
      </c>
      <c r="V76" s="278">
        <v>0.7</v>
      </c>
      <c r="W76" s="278">
        <v>0.7</v>
      </c>
      <c r="X76" s="278">
        <v>0.7</v>
      </c>
      <c r="Y76" s="278">
        <v>0.7</v>
      </c>
      <c r="Z76" s="278">
        <v>0.7</v>
      </c>
      <c r="AA76" s="278">
        <v>0.7</v>
      </c>
      <c r="AB76" s="278">
        <v>0.7</v>
      </c>
      <c r="AC76" s="278">
        <v>0.6</v>
      </c>
      <c r="AD76" s="278">
        <v>0.5</v>
      </c>
      <c r="AE76" s="278">
        <v>0.5</v>
      </c>
      <c r="AF76" s="278">
        <v>0.5</v>
      </c>
      <c r="AG76" s="278">
        <v>0.5</v>
      </c>
      <c r="AH76" s="278">
        <v>0.5</v>
      </c>
      <c r="AI76" s="278">
        <v>0.6</v>
      </c>
      <c r="AJ76" s="278">
        <v>0.6</v>
      </c>
      <c r="AK76" s="278">
        <v>0.6</v>
      </c>
      <c r="AL76" s="278">
        <v>0.6</v>
      </c>
      <c r="AM76" s="278">
        <v>0.6</v>
      </c>
      <c r="AN76" s="278">
        <v>0.7</v>
      </c>
      <c r="AO76" s="278">
        <v>0.7</v>
      </c>
      <c r="AP76" s="9"/>
    </row>
    <row r="77" spans="1:309" ht="15" customHeight="1" x14ac:dyDescent="0.25">
      <c r="A77" s="35" t="s">
        <v>114</v>
      </c>
      <c r="B77" s="226">
        <f>('[2]BANCO DE DADOS'!$B$472/'[2]BANCO DE DADOS'!$B$473)*100</f>
        <v>1.0929029622887094</v>
      </c>
      <c r="C77" s="226">
        <v>1.0947726869488359</v>
      </c>
      <c r="D77" s="226">
        <v>1.1067486393934756</v>
      </c>
      <c r="E77" s="226">
        <v>1.13333331526087</v>
      </c>
      <c r="F77" s="226">
        <v>1.1367390602710363</v>
      </c>
      <c r="G77" s="226">
        <v>1.1127054457917449</v>
      </c>
      <c r="H77" s="226">
        <v>1.11259458293793</v>
      </c>
      <c r="I77" s="371">
        <v>1.1133827189189853</v>
      </c>
      <c r="J77" s="226">
        <v>1.1157904717395826</v>
      </c>
      <c r="K77" s="280">
        <v>1.1158407167591189</v>
      </c>
      <c r="L77" s="280">
        <v>1.1441128928494435</v>
      </c>
      <c r="M77" s="280">
        <v>1.1000000000000001</v>
      </c>
      <c r="N77" s="280">
        <v>1.1000000000000001</v>
      </c>
      <c r="O77" s="280">
        <v>1.1000000000000001</v>
      </c>
      <c r="P77" s="280">
        <v>1.1000000000000001</v>
      </c>
      <c r="Q77" s="280">
        <v>1.1000000000000001</v>
      </c>
      <c r="R77" s="280">
        <v>1.1000000000000001</v>
      </c>
      <c r="S77" s="280">
        <v>1.1000000000000001</v>
      </c>
      <c r="T77" s="280">
        <v>1.1000000000000001</v>
      </c>
      <c r="U77" s="280">
        <v>1.1000000000000001</v>
      </c>
      <c r="V77" s="280">
        <v>1.1000000000000001</v>
      </c>
      <c r="W77" s="280">
        <v>1.1000000000000001</v>
      </c>
      <c r="X77" s="280">
        <v>1.1000000000000001</v>
      </c>
      <c r="Y77" s="280">
        <v>1.1000000000000001</v>
      </c>
      <c r="Z77" s="280">
        <v>1.1000000000000001</v>
      </c>
      <c r="AA77" s="280">
        <v>1.1000000000000001</v>
      </c>
      <c r="AB77" s="280">
        <v>1.1000000000000001</v>
      </c>
      <c r="AC77" s="280">
        <v>1.1000000000000001</v>
      </c>
      <c r="AD77" s="280">
        <v>1.1000000000000001</v>
      </c>
      <c r="AE77" s="280">
        <v>1.1000000000000001</v>
      </c>
      <c r="AF77" s="280">
        <v>1.1000000000000001</v>
      </c>
      <c r="AG77" s="280">
        <v>1.1000000000000001</v>
      </c>
      <c r="AH77" s="280">
        <v>1.1000000000000001</v>
      </c>
      <c r="AI77" s="280">
        <v>1.1000000000000001</v>
      </c>
      <c r="AJ77" s="280">
        <v>1.1000000000000001</v>
      </c>
      <c r="AK77" s="280">
        <v>1.1000000000000001</v>
      </c>
      <c r="AL77" s="280">
        <v>1.2</v>
      </c>
      <c r="AM77" s="280">
        <v>1.1000000000000001</v>
      </c>
      <c r="AN77" s="280">
        <v>1.1000000000000001</v>
      </c>
      <c r="AO77" s="280">
        <v>1.1000000000000001</v>
      </c>
    </row>
    <row r="78" spans="1:309" ht="15" customHeight="1" x14ac:dyDescent="0.25">
      <c r="A78" s="18" t="s">
        <v>113</v>
      </c>
      <c r="B78" s="227">
        <f t="shared" ref="B78:G78" si="3">SUM(B74:B77)</f>
        <v>100</v>
      </c>
      <c r="C78" s="227">
        <f t="shared" si="3"/>
        <v>99.999999999999986</v>
      </c>
      <c r="D78" s="227">
        <f t="shared" si="3"/>
        <v>100</v>
      </c>
      <c r="E78" s="227">
        <f t="shared" si="3"/>
        <v>99.999999999999957</v>
      </c>
      <c r="F78" s="227">
        <f t="shared" si="3"/>
        <v>99.999999999999986</v>
      </c>
      <c r="G78" s="227">
        <f t="shared" si="3"/>
        <v>100.00000000000001</v>
      </c>
      <c r="H78" s="227">
        <v>100</v>
      </c>
      <c r="I78" s="370">
        <v>100.00000000000001</v>
      </c>
      <c r="J78" s="227">
        <v>100</v>
      </c>
      <c r="K78" s="278">
        <v>100</v>
      </c>
      <c r="L78" s="278">
        <v>100</v>
      </c>
      <c r="M78" s="278">
        <v>100</v>
      </c>
      <c r="N78" s="278">
        <v>100</v>
      </c>
      <c r="O78" s="278">
        <v>100</v>
      </c>
      <c r="P78" s="278">
        <v>100</v>
      </c>
      <c r="Q78" s="278">
        <v>100</v>
      </c>
      <c r="R78" s="278">
        <v>100</v>
      </c>
      <c r="S78" s="278">
        <v>100</v>
      </c>
      <c r="T78" s="278">
        <v>100</v>
      </c>
      <c r="U78" s="278">
        <v>100</v>
      </c>
      <c r="V78" s="278">
        <v>100</v>
      </c>
      <c r="W78" s="278">
        <v>100</v>
      </c>
      <c r="X78" s="278">
        <v>100</v>
      </c>
      <c r="Y78" s="278">
        <v>100</v>
      </c>
      <c r="Z78" s="278">
        <v>100</v>
      </c>
      <c r="AA78" s="278">
        <v>100</v>
      </c>
      <c r="AB78" s="278">
        <v>100</v>
      </c>
      <c r="AC78" s="278">
        <v>100</v>
      </c>
      <c r="AD78" s="278">
        <v>100</v>
      </c>
      <c r="AE78" s="278">
        <v>100</v>
      </c>
      <c r="AF78" s="278">
        <v>100</v>
      </c>
      <c r="AG78" s="278">
        <v>100</v>
      </c>
      <c r="AH78" s="278">
        <v>100</v>
      </c>
      <c r="AI78" s="278">
        <v>100</v>
      </c>
      <c r="AJ78" s="278">
        <v>100</v>
      </c>
      <c r="AK78" s="278">
        <v>100</v>
      </c>
      <c r="AL78" s="278">
        <v>100</v>
      </c>
      <c r="AM78" s="278">
        <v>100</v>
      </c>
      <c r="AN78" s="278">
        <v>100</v>
      </c>
      <c r="AO78" s="278">
        <v>100</v>
      </c>
      <c r="AP78" s="9"/>
    </row>
    <row r="79" spans="1:309" x14ac:dyDescent="0.25">
      <c r="A79" s="7"/>
      <c r="B79" s="7"/>
      <c r="C79" s="7"/>
      <c r="D79" s="7"/>
      <c r="E79" s="7"/>
      <c r="F79" s="7"/>
      <c r="G79" s="7"/>
      <c r="H79" s="7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7"/>
    </row>
    <row r="80" spans="1:309" ht="15" customHeight="1" x14ac:dyDescent="0.25">
      <c r="A80" s="330" t="s">
        <v>116</v>
      </c>
      <c r="B80" s="381"/>
      <c r="C80" s="381"/>
      <c r="D80" s="381"/>
      <c r="E80" s="381"/>
      <c r="F80" s="332"/>
      <c r="G80" s="332"/>
      <c r="H80" s="333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5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48"/>
      <c r="AL80" s="48"/>
      <c r="AM80" s="48"/>
      <c r="AN80" s="48"/>
      <c r="AO80" s="48"/>
      <c r="AP80" s="7"/>
    </row>
    <row r="81" spans="1:43" ht="15" customHeight="1" x14ac:dyDescent="0.25">
      <c r="A81" s="331" t="s">
        <v>117</v>
      </c>
      <c r="B81" s="382"/>
      <c r="C81" s="382"/>
      <c r="D81" s="382"/>
      <c r="E81" s="382"/>
      <c r="F81" s="336"/>
      <c r="G81" s="336"/>
      <c r="H81" s="337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9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48"/>
      <c r="AL81" s="48"/>
      <c r="AM81" s="48"/>
      <c r="AN81" s="48"/>
      <c r="AO81" s="48"/>
      <c r="AP81" s="7"/>
      <c r="AQ81" s="289"/>
    </row>
    <row r="82" spans="1:43" x14ac:dyDescent="0.25">
      <c r="A82" s="7"/>
      <c r="B82" s="7"/>
      <c r="C82" s="7"/>
      <c r="D82" s="7"/>
      <c r="E82" s="7"/>
      <c r="F82" s="7"/>
      <c r="G82" s="7"/>
      <c r="H82" s="7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7"/>
    </row>
  </sheetData>
  <mergeCells count="1">
    <mergeCell ref="K1:Y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6"/>
  <sheetViews>
    <sheetView topLeftCell="A94" zoomScaleNormal="100" zoomScaleSheetLayoutView="77" workbookViewId="0">
      <selection activeCell="G109" sqref="G109"/>
    </sheetView>
  </sheetViews>
  <sheetFormatPr defaultColWidth="0" defaultRowHeight="15" zeroHeight="1" x14ac:dyDescent="0.25"/>
  <cols>
    <col min="1" max="1" width="17.85546875" style="7" customWidth="1"/>
    <col min="2" max="2" width="15.85546875" style="7" customWidth="1"/>
    <col min="3" max="3" width="14.42578125" style="7" customWidth="1"/>
    <col min="4" max="4" width="17.28515625" style="7" customWidth="1"/>
    <col min="5" max="5" width="12.7109375" style="7" customWidth="1"/>
    <col min="6" max="6" width="11.7109375" style="7" customWidth="1"/>
    <col min="7" max="7" width="15.5703125" style="7" customWidth="1"/>
    <col min="8" max="34" width="0" hidden="1" customWidth="1"/>
    <col min="368" max="16383" width="9.140625" hidden="1"/>
    <col min="16384" max="16384" width="2.7109375" hidden="1" customWidth="1"/>
  </cols>
  <sheetData>
    <row r="1" spans="1:34" ht="93" customHeight="1" x14ac:dyDescent="0.25">
      <c r="A1" s="39"/>
      <c r="B1" s="51"/>
      <c r="C1" s="394" t="s">
        <v>381</v>
      </c>
      <c r="D1" s="394"/>
      <c r="E1" s="394"/>
      <c r="F1" s="394"/>
      <c r="G1" s="394"/>
      <c r="H1" s="313"/>
      <c r="I1" s="313"/>
      <c r="J1" s="313"/>
      <c r="K1" s="313"/>
      <c r="L1" s="313"/>
      <c r="M1" s="313"/>
      <c r="N1" s="313"/>
      <c r="O1" s="60"/>
      <c r="P1" s="60"/>
      <c r="Q1" s="60"/>
      <c r="R1" s="60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s="217" customFormat="1" ht="36" x14ac:dyDescent="0.25">
      <c r="A2" s="215" t="s">
        <v>222</v>
      </c>
      <c r="B2" s="215" t="s">
        <v>135</v>
      </c>
      <c r="C2" s="215" t="s">
        <v>136</v>
      </c>
      <c r="D2" s="215" t="s">
        <v>137</v>
      </c>
      <c r="E2" s="215" t="s">
        <v>445</v>
      </c>
      <c r="F2" s="216" t="s">
        <v>138</v>
      </c>
      <c r="G2" s="215" t="s">
        <v>139</v>
      </c>
    </row>
    <row r="3" spans="1:34" s="212" customFormat="1" ht="15.75" x14ac:dyDescent="0.25">
      <c r="A3" s="96" t="s">
        <v>140</v>
      </c>
      <c r="B3" s="210"/>
      <c r="C3" s="210"/>
      <c r="D3" s="210"/>
      <c r="E3" s="210"/>
      <c r="F3" s="211"/>
      <c r="G3" s="210"/>
    </row>
    <row r="4" spans="1:34" s="61" customFormat="1" x14ac:dyDescent="0.25">
      <c r="A4" s="77"/>
      <c r="B4" s="77" t="s">
        <v>141</v>
      </c>
      <c r="C4" s="82" t="s">
        <v>142</v>
      </c>
      <c r="D4" s="83">
        <v>18367163.52</v>
      </c>
      <c r="E4" s="84">
        <f>0.16/3</f>
        <v>5.3333333333333337E-2</v>
      </c>
      <c r="F4" s="85">
        <v>38860</v>
      </c>
      <c r="G4" s="85">
        <v>39209</v>
      </c>
    </row>
    <row r="5" spans="1:34" s="74" customFormat="1" x14ac:dyDescent="0.25">
      <c r="A5" s="78"/>
      <c r="B5" s="78" t="s">
        <v>143</v>
      </c>
      <c r="C5" s="86" t="s">
        <v>142</v>
      </c>
      <c r="D5" s="87">
        <v>24746122.420000002</v>
      </c>
      <c r="E5" s="88">
        <f>0.215568375/3</f>
        <v>7.1856125000000007E-2</v>
      </c>
      <c r="F5" s="89">
        <v>38923</v>
      </c>
      <c r="G5" s="89">
        <v>39209</v>
      </c>
    </row>
    <row r="6" spans="1:34" s="61" customFormat="1" x14ac:dyDescent="0.25">
      <c r="A6" s="77"/>
      <c r="B6" s="77" t="s">
        <v>144</v>
      </c>
      <c r="C6" s="82" t="s">
        <v>142</v>
      </c>
      <c r="D6" s="83">
        <v>27550745.280000001</v>
      </c>
      <c r="E6" s="84">
        <f>0.24/3</f>
        <v>0.08</v>
      </c>
      <c r="F6" s="85">
        <v>39034</v>
      </c>
      <c r="G6" s="85">
        <v>39209</v>
      </c>
    </row>
    <row r="7" spans="1:34" s="74" customFormat="1" x14ac:dyDescent="0.25">
      <c r="A7" s="78"/>
      <c r="B7" s="78" t="s">
        <v>145</v>
      </c>
      <c r="C7" s="86" t="s">
        <v>142</v>
      </c>
      <c r="D7" s="87">
        <v>20023838.66</v>
      </c>
      <c r="E7" s="88">
        <f>0.174431625/3</f>
        <v>5.8143875000000005E-2</v>
      </c>
      <c r="F7" s="89">
        <v>39175</v>
      </c>
      <c r="G7" s="89">
        <v>39209</v>
      </c>
    </row>
    <row r="8" spans="1:34" s="95" customFormat="1" ht="24" x14ac:dyDescent="0.25">
      <c r="A8" s="90" t="s">
        <v>146</v>
      </c>
      <c r="B8" s="79"/>
      <c r="C8" s="91"/>
      <c r="D8" s="92">
        <v>90687869.879999995</v>
      </c>
      <c r="E8" s="93">
        <f>SUM(E4:E7)</f>
        <v>0.26333333333333336</v>
      </c>
      <c r="F8" s="94" t="s">
        <v>32</v>
      </c>
      <c r="G8" s="90" t="s">
        <v>32</v>
      </c>
    </row>
    <row r="9" spans="1:34" s="67" customFormat="1" ht="14.25" x14ac:dyDescent="0.25">
      <c r="A9" s="62"/>
      <c r="B9" s="63"/>
      <c r="C9" s="64"/>
      <c r="D9" s="65"/>
      <c r="E9" s="75"/>
      <c r="F9" s="66"/>
      <c r="G9" s="62"/>
    </row>
    <row r="10" spans="1:34" s="95" customFormat="1" ht="12" x14ac:dyDescent="0.25">
      <c r="A10" s="90" t="s">
        <v>147</v>
      </c>
      <c r="B10" s="79"/>
      <c r="C10" s="91"/>
      <c r="D10" s="92"/>
      <c r="E10" s="93"/>
      <c r="F10" s="94"/>
      <c r="G10" s="90"/>
    </row>
    <row r="11" spans="1:34" s="74" customFormat="1" x14ac:dyDescent="0.25">
      <c r="A11" s="78"/>
      <c r="B11" s="78" t="s">
        <v>148</v>
      </c>
      <c r="C11" s="86" t="s">
        <v>142</v>
      </c>
      <c r="D11" s="87">
        <v>20663058.960000001</v>
      </c>
      <c r="E11" s="88">
        <f>0.18/3</f>
        <v>0.06</v>
      </c>
      <c r="F11" s="89">
        <v>39244</v>
      </c>
      <c r="G11" s="89">
        <v>39577</v>
      </c>
    </row>
    <row r="12" spans="1:34" s="61" customFormat="1" x14ac:dyDescent="0.25">
      <c r="A12" s="77"/>
      <c r="B12" s="77" t="s">
        <v>149</v>
      </c>
      <c r="C12" s="82" t="s">
        <v>142</v>
      </c>
      <c r="D12" s="83">
        <v>30994588.440000001</v>
      </c>
      <c r="E12" s="84">
        <f>0.27/3</f>
        <v>9.0000000000000011E-2</v>
      </c>
      <c r="F12" s="85">
        <v>39336</v>
      </c>
      <c r="G12" s="85">
        <v>39577</v>
      </c>
    </row>
    <row r="13" spans="1:34" s="74" customFormat="1" x14ac:dyDescent="0.25">
      <c r="A13" s="78"/>
      <c r="B13" s="78" t="s">
        <v>150</v>
      </c>
      <c r="C13" s="86" t="s">
        <v>142</v>
      </c>
      <c r="D13" s="87">
        <v>27550745.280000001</v>
      </c>
      <c r="E13" s="88">
        <f>0.24/3</f>
        <v>0.08</v>
      </c>
      <c r="F13" s="89">
        <v>39535</v>
      </c>
      <c r="G13" s="89">
        <v>39577</v>
      </c>
    </row>
    <row r="14" spans="1:34" s="95" customFormat="1" ht="24" x14ac:dyDescent="0.25">
      <c r="A14" s="90" t="s">
        <v>151</v>
      </c>
      <c r="B14" s="79"/>
      <c r="C14" s="91"/>
      <c r="D14" s="92">
        <v>79208392.680000007</v>
      </c>
      <c r="E14" s="93">
        <f>SUM(E11:E13)</f>
        <v>0.23000000000000004</v>
      </c>
      <c r="F14" s="94" t="s">
        <v>32</v>
      </c>
      <c r="G14" s="90"/>
    </row>
    <row r="15" spans="1:34" s="67" customFormat="1" ht="14.25" x14ac:dyDescent="0.25">
      <c r="A15" s="62"/>
      <c r="B15" s="63"/>
      <c r="C15" s="64"/>
      <c r="D15" s="65"/>
      <c r="E15" s="75"/>
      <c r="F15" s="66"/>
      <c r="G15" s="62"/>
    </row>
    <row r="16" spans="1:34" s="95" customFormat="1" ht="12" x14ac:dyDescent="0.25">
      <c r="A16" s="90" t="s">
        <v>223</v>
      </c>
      <c r="B16" s="79"/>
      <c r="C16" s="91"/>
      <c r="D16" s="92"/>
      <c r="E16" s="93"/>
      <c r="F16" s="94"/>
      <c r="G16" s="90"/>
    </row>
    <row r="17" spans="1:7" s="74" customFormat="1" x14ac:dyDescent="0.25">
      <c r="A17" s="78"/>
      <c r="B17" s="78" t="s">
        <v>152</v>
      </c>
      <c r="C17" s="86" t="s">
        <v>142</v>
      </c>
      <c r="D17" s="87">
        <v>51657647.399999999</v>
      </c>
      <c r="E17" s="88">
        <f>0.45/3</f>
        <v>0.15</v>
      </c>
      <c r="F17" s="89">
        <v>39535</v>
      </c>
      <c r="G17" s="89">
        <v>39933</v>
      </c>
    </row>
    <row r="18" spans="1:7" s="61" customFormat="1" x14ac:dyDescent="0.25">
      <c r="A18" s="77"/>
      <c r="B18" s="77" t="s">
        <v>153</v>
      </c>
      <c r="C18" s="82" t="s">
        <v>142</v>
      </c>
      <c r="D18" s="83">
        <v>25255353.68</v>
      </c>
      <c r="E18" s="84">
        <f>0.220003496/3</f>
        <v>7.3334498666666664E-2</v>
      </c>
      <c r="F18" s="85">
        <v>39664</v>
      </c>
      <c r="G18" s="85">
        <v>39933</v>
      </c>
    </row>
    <row r="19" spans="1:7" s="74" customFormat="1" x14ac:dyDescent="0.25">
      <c r="A19" s="78"/>
      <c r="B19" s="78" t="s">
        <v>154</v>
      </c>
      <c r="C19" s="86" t="s">
        <v>142</v>
      </c>
      <c r="D19" s="87">
        <v>38948107.210000001</v>
      </c>
      <c r="E19" s="88">
        <f>0.33928330055/3</f>
        <v>0.11309443351666666</v>
      </c>
      <c r="F19" s="89">
        <v>39717</v>
      </c>
      <c r="G19" s="89">
        <v>39933</v>
      </c>
    </row>
    <row r="20" spans="1:7" s="95" customFormat="1" ht="24" x14ac:dyDescent="0.25">
      <c r="A20" s="90" t="s">
        <v>155</v>
      </c>
      <c r="B20" s="79"/>
      <c r="C20" s="91"/>
      <c r="D20" s="92">
        <v>115861108.29000001</v>
      </c>
      <c r="E20" s="93">
        <f>SUM(E17:E19)</f>
        <v>0.33642893218333331</v>
      </c>
      <c r="F20" s="94" t="s">
        <v>32</v>
      </c>
      <c r="G20" s="90" t="s">
        <v>32</v>
      </c>
    </row>
    <row r="21" spans="1:7" s="67" customFormat="1" ht="14.25" x14ac:dyDescent="0.25">
      <c r="A21" s="62"/>
      <c r="B21" s="63"/>
      <c r="C21" s="64"/>
      <c r="D21" s="65"/>
      <c r="E21" s="75"/>
      <c r="F21" s="66"/>
      <c r="G21" s="62"/>
    </row>
    <row r="22" spans="1:7" s="95" customFormat="1" ht="12" x14ac:dyDescent="0.25">
      <c r="A22" s="90" t="s">
        <v>224</v>
      </c>
      <c r="B22" s="79"/>
      <c r="C22" s="91"/>
      <c r="D22" s="92"/>
      <c r="E22" s="93"/>
      <c r="F22" s="94"/>
      <c r="G22" s="90"/>
    </row>
    <row r="23" spans="1:7" s="74" customFormat="1" x14ac:dyDescent="0.25">
      <c r="A23" s="78"/>
      <c r="B23" s="78" t="s">
        <v>154</v>
      </c>
      <c r="C23" s="86" t="s">
        <v>142</v>
      </c>
      <c r="D23" s="87">
        <v>37228630.289999999</v>
      </c>
      <c r="E23" s="88">
        <f>0.32424988273/3</f>
        <v>0.10808329424333334</v>
      </c>
      <c r="F23" s="89">
        <v>39903</v>
      </c>
      <c r="G23" s="89">
        <v>39959</v>
      </c>
    </row>
    <row r="24" spans="1:7" s="61" customFormat="1" x14ac:dyDescent="0.25">
      <c r="A24" s="77"/>
      <c r="B24" s="77" t="s">
        <v>156</v>
      </c>
      <c r="C24" s="82" t="s">
        <v>142</v>
      </c>
      <c r="D24" s="83">
        <v>43651831.799999997</v>
      </c>
      <c r="E24" s="84">
        <f>0.38/3</f>
        <v>0.12666666666666668</v>
      </c>
      <c r="F24" s="85">
        <v>39994</v>
      </c>
      <c r="G24" s="85">
        <v>40045</v>
      </c>
    </row>
    <row r="25" spans="1:7" s="74" customFormat="1" x14ac:dyDescent="0.25">
      <c r="A25" s="78"/>
      <c r="B25" s="78" t="s">
        <v>157</v>
      </c>
      <c r="C25" s="86" t="s">
        <v>142</v>
      </c>
      <c r="D25" s="87">
        <v>37910556.600000001</v>
      </c>
      <c r="E25" s="88">
        <f>0.33/3</f>
        <v>0.11</v>
      </c>
      <c r="F25" s="89">
        <v>40086</v>
      </c>
      <c r="G25" s="89">
        <v>40141</v>
      </c>
    </row>
    <row r="26" spans="1:7" s="61" customFormat="1" x14ac:dyDescent="0.25">
      <c r="A26" s="77"/>
      <c r="B26" s="77" t="s">
        <v>158</v>
      </c>
      <c r="C26" s="82" t="s">
        <v>142</v>
      </c>
      <c r="D26" s="83">
        <v>53595887.369999997</v>
      </c>
      <c r="E26" s="84">
        <f>0.46653393/3</f>
        <v>0.15551130999999999</v>
      </c>
      <c r="F26" s="85">
        <v>40268</v>
      </c>
      <c r="G26" s="85">
        <v>40297</v>
      </c>
    </row>
    <row r="27" spans="1:7" s="95" customFormat="1" ht="24" x14ac:dyDescent="0.25">
      <c r="A27" s="90" t="s">
        <v>159</v>
      </c>
      <c r="B27" s="79"/>
      <c r="C27" s="91"/>
      <c r="D27" s="92">
        <v>172386906.06</v>
      </c>
      <c r="E27" s="93">
        <f>SUM(E23:E26)</f>
        <v>0.50026127090999994</v>
      </c>
      <c r="F27" s="94" t="s">
        <v>32</v>
      </c>
      <c r="G27" s="90" t="s">
        <v>32</v>
      </c>
    </row>
    <row r="28" spans="1:7" s="73" customFormat="1" ht="14.25" x14ac:dyDescent="0.25">
      <c r="A28" s="68"/>
      <c r="B28" s="68"/>
      <c r="C28" s="69"/>
      <c r="D28" s="70"/>
      <c r="E28" s="76"/>
      <c r="F28" s="71"/>
      <c r="G28" s="72"/>
    </row>
    <row r="29" spans="1:7" s="95" customFormat="1" ht="12" x14ac:dyDescent="0.25">
      <c r="A29" s="90" t="s">
        <v>160</v>
      </c>
      <c r="B29" s="79"/>
      <c r="C29" s="91"/>
      <c r="D29" s="92"/>
      <c r="E29" s="93"/>
      <c r="F29" s="94"/>
      <c r="G29" s="90"/>
    </row>
    <row r="30" spans="1:7" s="81" customFormat="1" ht="12" x14ac:dyDescent="0.25">
      <c r="A30" s="77"/>
      <c r="B30" s="77" t="s">
        <v>158</v>
      </c>
      <c r="C30" s="82" t="s">
        <v>142</v>
      </c>
      <c r="D30" s="83">
        <v>43673144.640000001</v>
      </c>
      <c r="E30" s="84">
        <f>0.38/3</f>
        <v>0.12666666666666668</v>
      </c>
      <c r="F30" s="85">
        <v>40268</v>
      </c>
      <c r="G30" s="85">
        <v>40323</v>
      </c>
    </row>
    <row r="31" spans="1:7" s="80" customFormat="1" ht="12" x14ac:dyDescent="0.25">
      <c r="A31" s="78"/>
      <c r="B31" s="78" t="s">
        <v>161</v>
      </c>
      <c r="C31" s="86" t="s">
        <v>142</v>
      </c>
      <c r="D31" s="87">
        <v>56740609.240000002</v>
      </c>
      <c r="E31" s="88">
        <f>0.4937/3</f>
        <v>0.16456666666666667</v>
      </c>
      <c r="F31" s="89">
        <v>40359</v>
      </c>
      <c r="G31" s="89">
        <v>40414</v>
      </c>
    </row>
    <row r="32" spans="1:7" s="81" customFormat="1" ht="12" x14ac:dyDescent="0.25">
      <c r="A32" s="77"/>
      <c r="B32" s="77" t="s">
        <v>162</v>
      </c>
      <c r="C32" s="82" t="s">
        <v>142</v>
      </c>
      <c r="D32" s="83">
        <v>56935989.090000004</v>
      </c>
      <c r="E32" s="84">
        <f>0.4954/3</f>
        <v>0.16513333333333333</v>
      </c>
      <c r="F32" s="85">
        <v>40451</v>
      </c>
      <c r="G32" s="85">
        <v>40511</v>
      </c>
    </row>
    <row r="33" spans="1:7" s="80" customFormat="1" ht="12" x14ac:dyDescent="0.25">
      <c r="A33" s="78"/>
      <c r="B33" s="78" t="s">
        <v>163</v>
      </c>
      <c r="C33" s="86" t="s">
        <v>142</v>
      </c>
      <c r="D33" s="87">
        <v>66863015.170000002</v>
      </c>
      <c r="E33" s="88">
        <f>0.58177504675/3</f>
        <v>0.19392501558333333</v>
      </c>
      <c r="F33" s="89">
        <v>40620</v>
      </c>
      <c r="G33" s="89">
        <v>40662</v>
      </c>
    </row>
    <row r="34" spans="1:7" s="95" customFormat="1" ht="24" x14ac:dyDescent="0.25">
      <c r="A34" s="90" t="s">
        <v>164</v>
      </c>
      <c r="B34" s="79"/>
      <c r="C34" s="91"/>
      <c r="D34" s="92">
        <v>224212758.13999999</v>
      </c>
      <c r="E34" s="93">
        <f>SUM(E30:E33)</f>
        <v>0.65029168225</v>
      </c>
      <c r="F34" s="94" t="s">
        <v>32</v>
      </c>
      <c r="G34" s="90" t="s">
        <v>32</v>
      </c>
    </row>
    <row r="35" spans="1:7" s="67" customFormat="1" ht="14.25" x14ac:dyDescent="0.25">
      <c r="A35" s="63"/>
      <c r="B35" s="63"/>
      <c r="C35" s="64"/>
      <c r="D35" s="65"/>
      <c r="E35" s="75"/>
      <c r="F35" s="66"/>
      <c r="G35" s="62"/>
    </row>
    <row r="36" spans="1:7" s="95" customFormat="1" ht="12" x14ac:dyDescent="0.25">
      <c r="A36" s="90" t="s">
        <v>165</v>
      </c>
      <c r="B36" s="79"/>
      <c r="C36" s="91"/>
      <c r="D36" s="92"/>
      <c r="E36" s="93"/>
      <c r="F36" s="94"/>
      <c r="G36" s="90"/>
    </row>
    <row r="37" spans="1:7" s="74" customFormat="1" x14ac:dyDescent="0.25">
      <c r="A37" s="78"/>
      <c r="B37" s="78" t="s">
        <v>166</v>
      </c>
      <c r="C37" s="86" t="s">
        <v>142</v>
      </c>
      <c r="D37" s="87">
        <v>39420759.5</v>
      </c>
      <c r="E37" s="88">
        <f>0.343/3</f>
        <v>0.11433333333333334</v>
      </c>
      <c r="F37" s="89">
        <v>40633</v>
      </c>
      <c r="G37" s="86" t="s">
        <v>167</v>
      </c>
    </row>
    <row r="38" spans="1:7" s="61" customFormat="1" x14ac:dyDescent="0.25">
      <c r="A38" s="77"/>
      <c r="B38" s="77" t="s">
        <v>168</v>
      </c>
      <c r="C38" s="82" t="s">
        <v>142</v>
      </c>
      <c r="D38" s="83">
        <v>41374558.079999998</v>
      </c>
      <c r="E38" s="84">
        <f>0.36/3</f>
        <v>0.12</v>
      </c>
      <c r="F38" s="85">
        <v>40730</v>
      </c>
      <c r="G38" s="85">
        <v>40781</v>
      </c>
    </row>
    <row r="39" spans="1:7" s="74" customFormat="1" x14ac:dyDescent="0.25">
      <c r="A39" s="78"/>
      <c r="B39" s="78" t="s">
        <v>169</v>
      </c>
      <c r="C39" s="86" t="s">
        <v>142</v>
      </c>
      <c r="D39" s="87">
        <v>42523851.359999999</v>
      </c>
      <c r="E39" s="88">
        <f>0.37/3</f>
        <v>0.12333333333333334</v>
      </c>
      <c r="F39" s="89">
        <v>40807</v>
      </c>
      <c r="G39" s="89">
        <v>40861</v>
      </c>
    </row>
    <row r="40" spans="1:7" s="61" customFormat="1" x14ac:dyDescent="0.25">
      <c r="A40" s="77"/>
      <c r="B40" s="77" t="s">
        <v>170</v>
      </c>
      <c r="C40" s="82" t="s">
        <v>142</v>
      </c>
      <c r="D40" s="83">
        <v>29808001.100000001</v>
      </c>
      <c r="E40" s="84">
        <f>0.2593581827/3</f>
        <v>8.6452727566666665E-2</v>
      </c>
      <c r="F40" s="85">
        <v>40981</v>
      </c>
      <c r="G40" s="85">
        <v>41026</v>
      </c>
    </row>
    <row r="41" spans="1:7" s="95" customFormat="1" ht="24" x14ac:dyDescent="0.25">
      <c r="A41" s="90" t="s">
        <v>171</v>
      </c>
      <c r="B41" s="79"/>
      <c r="C41" s="91"/>
      <c r="D41" s="92">
        <v>153127170.03999999</v>
      </c>
      <c r="E41" s="93">
        <f>SUM(E37:E40)</f>
        <v>0.44411939423333335</v>
      </c>
      <c r="F41" s="94" t="s">
        <v>32</v>
      </c>
      <c r="G41" s="90" t="s">
        <v>32</v>
      </c>
    </row>
    <row r="42" spans="1:7" s="73" customFormat="1" ht="14.25" x14ac:dyDescent="0.25">
      <c r="A42" s="68"/>
      <c r="B42" s="68"/>
      <c r="C42" s="69"/>
      <c r="D42" s="70"/>
      <c r="E42" s="76"/>
      <c r="F42" s="71"/>
      <c r="G42" s="72"/>
    </row>
    <row r="43" spans="1:7" s="95" customFormat="1" ht="12" x14ac:dyDescent="0.25">
      <c r="A43" s="79" t="s">
        <v>172</v>
      </c>
      <c r="B43" s="79"/>
      <c r="C43" s="91"/>
      <c r="D43" s="92"/>
      <c r="E43" s="93"/>
      <c r="F43" s="94"/>
      <c r="G43" s="90"/>
    </row>
    <row r="44" spans="1:7" s="74" customFormat="1" x14ac:dyDescent="0.25">
      <c r="A44" s="78"/>
      <c r="B44" s="78" t="s">
        <v>173</v>
      </c>
      <c r="C44" s="86" t="s">
        <v>142</v>
      </c>
      <c r="D44" s="87">
        <v>37754696.840000004</v>
      </c>
      <c r="E44" s="88">
        <f>0.3285/3</f>
        <v>0.1095</v>
      </c>
      <c r="F44" s="89">
        <v>40989</v>
      </c>
      <c r="G44" s="89">
        <v>41044</v>
      </c>
    </row>
    <row r="45" spans="1:7" s="61" customFormat="1" x14ac:dyDescent="0.25">
      <c r="A45" s="77"/>
      <c r="B45" s="77" t="s">
        <v>174</v>
      </c>
      <c r="C45" s="82" t="s">
        <v>142</v>
      </c>
      <c r="D45" s="83">
        <v>37217368.82</v>
      </c>
      <c r="E45" s="84">
        <f>0.3096269313/3</f>
        <v>0.1032089771</v>
      </c>
      <c r="F45" s="85">
        <v>41081</v>
      </c>
      <c r="G45" s="85">
        <v>41138</v>
      </c>
    </row>
    <row r="46" spans="1:7" s="74" customFormat="1" x14ac:dyDescent="0.25">
      <c r="A46" s="78"/>
      <c r="B46" s="78" t="s">
        <v>175</v>
      </c>
      <c r="C46" s="86" t="s">
        <v>142</v>
      </c>
      <c r="D46" s="87">
        <v>37944143.670000002</v>
      </c>
      <c r="E46" s="88">
        <f>0.322928628/3</f>
        <v>0.107642876</v>
      </c>
      <c r="F46" s="89">
        <v>41173</v>
      </c>
      <c r="G46" s="89">
        <v>41226</v>
      </c>
    </row>
    <row r="47" spans="1:7" s="61" customFormat="1" x14ac:dyDescent="0.25">
      <c r="A47" s="77"/>
      <c r="B47" s="77" t="s">
        <v>176</v>
      </c>
      <c r="C47" s="82" t="s">
        <v>142</v>
      </c>
      <c r="D47" s="83">
        <v>46464507.490000002</v>
      </c>
      <c r="E47" s="84">
        <f>0.395440284/3</f>
        <v>0.13181342799999998</v>
      </c>
      <c r="F47" s="85">
        <v>41334</v>
      </c>
      <c r="G47" s="85">
        <v>41390</v>
      </c>
    </row>
    <row r="48" spans="1:7" s="95" customFormat="1" ht="24" x14ac:dyDescent="0.25">
      <c r="A48" s="90" t="s">
        <v>177</v>
      </c>
      <c r="B48" s="79"/>
      <c r="C48" s="91"/>
      <c r="D48" s="92">
        <v>159380716.81999999</v>
      </c>
      <c r="E48" s="93">
        <f>SUM(E44:E47)</f>
        <v>0.45216528109999998</v>
      </c>
      <c r="F48" s="94" t="s">
        <v>32</v>
      </c>
      <c r="G48" s="90" t="s">
        <v>32</v>
      </c>
    </row>
    <row r="49" spans="1:7" s="73" customFormat="1" ht="14.25" x14ac:dyDescent="0.25">
      <c r="A49" s="68"/>
      <c r="B49" s="68"/>
      <c r="C49" s="69"/>
      <c r="D49" s="70"/>
      <c r="E49" s="76"/>
      <c r="F49" s="71"/>
      <c r="G49" s="72"/>
    </row>
    <row r="50" spans="1:7" s="95" customFormat="1" ht="12" x14ac:dyDescent="0.25">
      <c r="A50" s="90" t="s">
        <v>178</v>
      </c>
      <c r="B50" s="79"/>
      <c r="C50" s="91"/>
      <c r="D50" s="92"/>
      <c r="E50" s="93"/>
      <c r="F50" s="94"/>
      <c r="G50" s="90"/>
    </row>
    <row r="51" spans="1:7" s="61" customFormat="1" x14ac:dyDescent="0.25">
      <c r="A51" s="77"/>
      <c r="B51" s="77" t="s">
        <v>179</v>
      </c>
      <c r="C51" s="82" t="s">
        <v>142</v>
      </c>
      <c r="D51" s="83">
        <v>38053616.810000002</v>
      </c>
      <c r="E51" s="84">
        <f>0.3189014021/3</f>
        <v>0.10630046736666666</v>
      </c>
      <c r="F51" s="85">
        <v>41354</v>
      </c>
      <c r="G51" s="85">
        <v>41411</v>
      </c>
    </row>
    <row r="52" spans="1:7" s="74" customFormat="1" x14ac:dyDescent="0.25">
      <c r="A52" s="78"/>
      <c r="B52" s="78" t="s">
        <v>180</v>
      </c>
      <c r="C52" s="86" t="s">
        <v>142</v>
      </c>
      <c r="D52" s="87">
        <v>36385686.450000003</v>
      </c>
      <c r="E52" s="88">
        <f>0.3049236156/3</f>
        <v>0.10164120519999999</v>
      </c>
      <c r="F52" s="89">
        <v>41450</v>
      </c>
      <c r="G52" s="89">
        <v>41509</v>
      </c>
    </row>
    <row r="53" spans="1:7" s="61" customFormat="1" x14ac:dyDescent="0.25">
      <c r="A53" s="77"/>
      <c r="B53" s="77" t="s">
        <v>181</v>
      </c>
      <c r="C53" s="82" t="s">
        <v>142</v>
      </c>
      <c r="D53" s="83">
        <v>31062654.079999998</v>
      </c>
      <c r="E53" s="84">
        <f>0.26031491273/3</f>
        <v>8.6771637576666671E-2</v>
      </c>
      <c r="F53" s="85">
        <v>41541</v>
      </c>
      <c r="G53" s="85">
        <v>41597</v>
      </c>
    </row>
    <row r="54" spans="1:7" s="74" customFormat="1" x14ac:dyDescent="0.25">
      <c r="A54" s="78"/>
      <c r="B54" s="78" t="s">
        <v>182</v>
      </c>
      <c r="C54" s="86" t="s">
        <v>142</v>
      </c>
      <c r="D54" s="87">
        <v>34079814.560000002</v>
      </c>
      <c r="E54" s="88">
        <f>0.2855996764/3</f>
        <v>9.5199892133333339E-2</v>
      </c>
      <c r="F54" s="89">
        <v>41673</v>
      </c>
      <c r="G54" s="89">
        <v>41732</v>
      </c>
    </row>
    <row r="55" spans="1:7" s="95" customFormat="1" ht="24" x14ac:dyDescent="0.25">
      <c r="A55" s="90" t="s">
        <v>183</v>
      </c>
      <c r="B55" s="79"/>
      <c r="C55" s="91"/>
      <c r="D55" s="92">
        <v>139581771.90000001</v>
      </c>
      <c r="E55" s="93">
        <f>SUM(E51:E54)</f>
        <v>0.3899132022766667</v>
      </c>
      <c r="F55" s="94" t="s">
        <v>32</v>
      </c>
      <c r="G55" s="90" t="s">
        <v>32</v>
      </c>
    </row>
    <row r="56" spans="1:7" s="67" customFormat="1" ht="14.25" x14ac:dyDescent="0.25">
      <c r="A56" s="63"/>
      <c r="B56" s="63"/>
      <c r="C56" s="64"/>
      <c r="D56" s="65"/>
      <c r="E56" s="75"/>
      <c r="F56" s="66"/>
      <c r="G56" s="62"/>
    </row>
    <row r="57" spans="1:7" s="95" customFormat="1" ht="12" x14ac:dyDescent="0.25">
      <c r="A57" s="90" t="s">
        <v>184</v>
      </c>
      <c r="B57" s="79"/>
      <c r="C57" s="91"/>
      <c r="D57" s="92"/>
      <c r="E57" s="93"/>
      <c r="F57" s="94"/>
      <c r="G57" s="90"/>
    </row>
    <row r="58" spans="1:7" s="74" customFormat="1" x14ac:dyDescent="0.25">
      <c r="A58" s="78"/>
      <c r="B58" s="78" t="s">
        <v>185</v>
      </c>
      <c r="C58" s="86" t="s">
        <v>142</v>
      </c>
      <c r="D58" s="87">
        <v>34757067.57</v>
      </c>
      <c r="E58" s="88">
        <f>0.2912752718/3</f>
        <v>9.7091757266666676E-2</v>
      </c>
      <c r="F58" s="89">
        <v>41722</v>
      </c>
      <c r="G58" s="89">
        <v>41779</v>
      </c>
    </row>
    <row r="59" spans="1:7" s="61" customFormat="1" x14ac:dyDescent="0.25">
      <c r="A59" s="77"/>
      <c r="B59" s="77" t="s">
        <v>186</v>
      </c>
      <c r="C59" s="82" t="s">
        <v>142</v>
      </c>
      <c r="D59" s="83">
        <v>33380184.699999999</v>
      </c>
      <c r="E59" s="84">
        <f>0.2797365558/3</f>
        <v>9.3245518600000007E-2</v>
      </c>
      <c r="F59" s="85">
        <v>41814</v>
      </c>
      <c r="G59" s="85">
        <v>41873</v>
      </c>
    </row>
    <row r="60" spans="1:7" s="74" customFormat="1" x14ac:dyDescent="0.25">
      <c r="A60" s="78"/>
      <c r="B60" s="78" t="s">
        <v>187</v>
      </c>
      <c r="C60" s="86" t="s">
        <v>142</v>
      </c>
      <c r="D60" s="87">
        <v>32751060.789999999</v>
      </c>
      <c r="E60" s="88">
        <f>0.2744642975/3</f>
        <v>9.148809916666667E-2</v>
      </c>
      <c r="F60" s="89">
        <v>41904</v>
      </c>
      <c r="G60" s="89">
        <v>41961</v>
      </c>
    </row>
    <row r="61" spans="1:7" s="61" customFormat="1" x14ac:dyDescent="0.25">
      <c r="A61" s="77"/>
      <c r="B61" s="77" t="s">
        <v>188</v>
      </c>
      <c r="C61" s="82" t="s">
        <v>142</v>
      </c>
      <c r="D61" s="83">
        <v>2452073.94</v>
      </c>
      <c r="E61" s="84">
        <f>0.0205491589/3</f>
        <v>6.8497196333333335E-3</v>
      </c>
      <c r="F61" s="85">
        <v>42087</v>
      </c>
      <c r="G61" s="85">
        <v>42181</v>
      </c>
    </row>
    <row r="62" spans="1:7" s="95" customFormat="1" ht="24" x14ac:dyDescent="0.25">
      <c r="A62" s="90" t="s">
        <v>189</v>
      </c>
      <c r="B62" s="79"/>
      <c r="C62" s="91"/>
      <c r="D62" s="92">
        <v>103340387</v>
      </c>
      <c r="E62" s="93">
        <f>SUM(E58:E61)</f>
        <v>0.28867509466666669</v>
      </c>
      <c r="F62" s="94" t="s">
        <v>32</v>
      </c>
      <c r="G62" s="90" t="s">
        <v>32</v>
      </c>
    </row>
    <row r="63" spans="1:7" s="73" customFormat="1" ht="14.25" x14ac:dyDescent="0.25">
      <c r="A63" s="68"/>
      <c r="B63" s="68"/>
      <c r="C63" s="69"/>
      <c r="D63" s="70"/>
      <c r="E63" s="76"/>
      <c r="F63" s="71"/>
      <c r="G63" s="72"/>
    </row>
    <row r="64" spans="1:7" s="95" customFormat="1" ht="12" x14ac:dyDescent="0.25">
      <c r="A64" s="90" t="s">
        <v>190</v>
      </c>
      <c r="B64" s="79"/>
      <c r="C64" s="91"/>
      <c r="D64" s="92"/>
      <c r="E64" s="93"/>
      <c r="F64" s="94"/>
      <c r="G64" s="90"/>
    </row>
    <row r="65" spans="1:7" s="61" customFormat="1" x14ac:dyDescent="0.25">
      <c r="A65" s="77"/>
      <c r="B65" s="77" t="s">
        <v>191</v>
      </c>
      <c r="C65" s="82" t="s">
        <v>142</v>
      </c>
      <c r="D65" s="83">
        <v>4596149.7699999996</v>
      </c>
      <c r="E65" s="84">
        <f>0.0385171957/3</f>
        <v>1.2839065233333334E-2</v>
      </c>
      <c r="F65" s="85">
        <v>42135</v>
      </c>
      <c r="G65" s="85">
        <v>42521</v>
      </c>
    </row>
    <row r="66" spans="1:7" s="74" customFormat="1" x14ac:dyDescent="0.25">
      <c r="A66" s="78"/>
      <c r="B66" s="78" t="s">
        <v>192</v>
      </c>
      <c r="C66" s="86" t="s">
        <v>142</v>
      </c>
      <c r="D66" s="87">
        <v>1058142.05</v>
      </c>
      <c r="E66" s="88">
        <f>0.0088675667/3</f>
        <v>2.9558555666666666E-3</v>
      </c>
      <c r="F66" s="89">
        <v>42227</v>
      </c>
      <c r="G66" s="89">
        <v>42521</v>
      </c>
    </row>
    <row r="67" spans="1:7" s="61" customFormat="1" x14ac:dyDescent="0.25">
      <c r="A67" s="77"/>
      <c r="B67" s="77" t="s">
        <v>193</v>
      </c>
      <c r="C67" s="82" t="s">
        <v>142</v>
      </c>
      <c r="D67" s="83">
        <v>2497246.9</v>
      </c>
      <c r="E67" s="84">
        <f>0.0209277226/3</f>
        <v>6.9759075333333332E-3</v>
      </c>
      <c r="F67" s="85">
        <v>42319</v>
      </c>
      <c r="G67" s="85">
        <v>42521</v>
      </c>
    </row>
    <row r="68" spans="1:7" s="95" customFormat="1" ht="24" x14ac:dyDescent="0.25">
      <c r="A68" s="90" t="s">
        <v>194</v>
      </c>
      <c r="B68" s="79"/>
      <c r="C68" s="91"/>
      <c r="D68" s="92">
        <v>8151538.7199999997</v>
      </c>
      <c r="E68" s="93">
        <f>SUM(E65:E67)</f>
        <v>2.2770828333333333E-2</v>
      </c>
      <c r="F68" s="94" t="s">
        <v>32</v>
      </c>
      <c r="G68" s="90"/>
    </row>
    <row r="69" spans="1:7" s="73" customFormat="1" ht="14.25" x14ac:dyDescent="0.25">
      <c r="A69" s="68"/>
      <c r="B69" s="68"/>
      <c r="C69" s="69"/>
      <c r="D69" s="70"/>
      <c r="E69" s="76"/>
      <c r="F69" s="71"/>
      <c r="G69" s="72"/>
    </row>
    <row r="70" spans="1:7" s="95" customFormat="1" ht="12" x14ac:dyDescent="0.25">
      <c r="A70" s="90" t="s">
        <v>195</v>
      </c>
      <c r="B70" s="79"/>
      <c r="C70" s="91"/>
      <c r="D70" s="92"/>
      <c r="E70" s="93"/>
      <c r="F70" s="94"/>
      <c r="G70" s="90"/>
    </row>
    <row r="71" spans="1:7" s="74" customFormat="1" x14ac:dyDescent="0.25">
      <c r="A71" s="78"/>
      <c r="B71" s="78" t="s">
        <v>196</v>
      </c>
      <c r="C71" s="86" t="s">
        <v>142</v>
      </c>
      <c r="D71" s="87">
        <v>24718586.239999998</v>
      </c>
      <c r="E71" s="88">
        <v>0.20714960609999999</v>
      </c>
      <c r="F71" s="89">
        <v>42501</v>
      </c>
      <c r="G71" s="89">
        <v>42654</v>
      </c>
    </row>
    <row r="72" spans="1:7" s="61" customFormat="1" x14ac:dyDescent="0.25">
      <c r="A72" s="77"/>
      <c r="B72" s="77" t="s">
        <v>197</v>
      </c>
      <c r="C72" s="82" t="s">
        <v>142</v>
      </c>
      <c r="D72" s="83">
        <v>28404156.109999999</v>
      </c>
      <c r="E72" s="84">
        <v>0.22472743019999999</v>
      </c>
      <c r="F72" s="85">
        <v>42604</v>
      </c>
      <c r="G72" s="85">
        <v>42654</v>
      </c>
    </row>
    <row r="73" spans="1:7" s="74" customFormat="1" x14ac:dyDescent="0.25">
      <c r="A73" s="78"/>
      <c r="B73" s="78" t="s">
        <v>198</v>
      </c>
      <c r="C73" s="86" t="s">
        <v>142</v>
      </c>
      <c r="D73" s="87">
        <v>30287998.359999999</v>
      </c>
      <c r="E73" s="88">
        <v>0.23963197529999999</v>
      </c>
      <c r="F73" s="89">
        <v>42690</v>
      </c>
      <c r="G73" s="89">
        <v>42741</v>
      </c>
    </row>
    <row r="74" spans="1:7" s="61" customFormat="1" x14ac:dyDescent="0.25">
      <c r="A74" s="77"/>
      <c r="B74" s="77" t="s">
        <v>199</v>
      </c>
      <c r="C74" s="82" t="s">
        <v>142</v>
      </c>
      <c r="D74" s="83">
        <v>36464189.729999997</v>
      </c>
      <c r="E74" s="84">
        <v>0.28849664180000001</v>
      </c>
      <c r="F74" s="85">
        <v>42810</v>
      </c>
      <c r="G74" s="85">
        <v>42895</v>
      </c>
    </row>
    <row r="75" spans="1:7" s="95" customFormat="1" ht="24" x14ac:dyDescent="0.25">
      <c r="A75" s="90" t="s">
        <v>200</v>
      </c>
      <c r="B75" s="79"/>
      <c r="C75" s="91"/>
      <c r="D75" s="92">
        <v>119874930.40000001</v>
      </c>
      <c r="E75" s="93">
        <f>SUM(E71:E74)</f>
        <v>0.96000565339999999</v>
      </c>
      <c r="F75" s="94" t="s">
        <v>32</v>
      </c>
      <c r="G75" s="90" t="s">
        <v>32</v>
      </c>
    </row>
    <row r="76" spans="1:7" s="73" customFormat="1" ht="14.25" x14ac:dyDescent="0.25">
      <c r="A76" s="68"/>
      <c r="B76" s="68"/>
      <c r="C76" s="69"/>
      <c r="D76" s="70"/>
      <c r="E76" s="76"/>
      <c r="F76" s="71"/>
      <c r="G76" s="72"/>
    </row>
    <row r="77" spans="1:7" s="95" customFormat="1" ht="12" x14ac:dyDescent="0.25">
      <c r="A77" s="90" t="s">
        <v>201</v>
      </c>
      <c r="B77" s="79"/>
      <c r="C77" s="91"/>
      <c r="D77" s="92"/>
      <c r="E77" s="93"/>
      <c r="F77" s="94"/>
      <c r="G77" s="90"/>
    </row>
    <row r="78" spans="1:7" s="61" customFormat="1" x14ac:dyDescent="0.25">
      <c r="A78" s="77"/>
      <c r="B78" s="77" t="s">
        <v>202</v>
      </c>
      <c r="C78" s="82" t="s">
        <v>142</v>
      </c>
      <c r="D78" s="83">
        <v>31962594.32</v>
      </c>
      <c r="E78" s="84">
        <f>0.2528810099/3</f>
        <v>8.4293669966666665E-2</v>
      </c>
      <c r="F78" s="85">
        <v>42816</v>
      </c>
      <c r="G78" s="85">
        <v>42870</v>
      </c>
    </row>
    <row r="79" spans="1:7" s="74" customFormat="1" x14ac:dyDescent="0.25">
      <c r="A79" s="78"/>
      <c r="B79" s="78" t="s">
        <v>203</v>
      </c>
      <c r="C79" s="86" t="s">
        <v>142</v>
      </c>
      <c r="D79" s="87">
        <v>37262569.75</v>
      </c>
      <c r="E79" s="88">
        <f>0.2948132488/3</f>
        <v>9.8271082933333323E-2</v>
      </c>
      <c r="F79" s="89">
        <v>42907</v>
      </c>
      <c r="G79" s="89">
        <v>42944</v>
      </c>
    </row>
    <row r="80" spans="1:7" s="61" customFormat="1" x14ac:dyDescent="0.25">
      <c r="A80" s="77"/>
      <c r="B80" s="77" t="s">
        <v>204</v>
      </c>
      <c r="C80" s="82" t="s">
        <v>142</v>
      </c>
      <c r="D80" s="83">
        <v>38946092.299999997</v>
      </c>
      <c r="E80" s="84">
        <f>0.3081329086/3</f>
        <v>0.10271096953333332</v>
      </c>
      <c r="F80" s="85">
        <v>43000</v>
      </c>
      <c r="G80" s="85">
        <v>43031</v>
      </c>
    </row>
    <row r="81" spans="1:7" s="74" customFormat="1" ht="24" x14ac:dyDescent="0.25">
      <c r="A81" s="78"/>
      <c r="B81" s="78" t="s">
        <v>205</v>
      </c>
      <c r="C81" s="86" t="s">
        <v>206</v>
      </c>
      <c r="D81" s="87">
        <v>120000000</v>
      </c>
      <c r="E81" s="88">
        <f>0.9494135828/3</f>
        <v>0.31647119426666664</v>
      </c>
      <c r="F81" s="89">
        <v>43056</v>
      </c>
      <c r="G81" s="86" t="s">
        <v>207</v>
      </c>
    </row>
    <row r="82" spans="1:7" s="61" customFormat="1" x14ac:dyDescent="0.25">
      <c r="A82" s="77"/>
      <c r="B82" s="77" t="s">
        <v>208</v>
      </c>
      <c r="C82" s="82" t="s">
        <v>142</v>
      </c>
      <c r="D82" s="83">
        <v>46072502.670000002</v>
      </c>
      <c r="E82" s="84">
        <f>0.3645154986/3</f>
        <v>0.1215051662</v>
      </c>
      <c r="F82" s="85">
        <v>43158</v>
      </c>
      <c r="G82" s="85">
        <v>43237</v>
      </c>
    </row>
    <row r="83" spans="1:7" s="95" customFormat="1" ht="24" x14ac:dyDescent="0.25">
      <c r="A83" s="90" t="s">
        <v>209</v>
      </c>
      <c r="B83" s="79"/>
      <c r="C83" s="91"/>
      <c r="D83" s="92">
        <v>274243759.04000002</v>
      </c>
      <c r="E83" s="93">
        <f>SUM(E78:E82)</f>
        <v>0.72325208289999998</v>
      </c>
      <c r="F83" s="94" t="s">
        <v>32</v>
      </c>
      <c r="G83" s="90" t="s">
        <v>32</v>
      </c>
    </row>
    <row r="84" spans="1:7" s="73" customFormat="1" ht="14.25" x14ac:dyDescent="0.25">
      <c r="A84" s="68"/>
      <c r="B84" s="68"/>
      <c r="C84" s="69"/>
      <c r="D84" s="70"/>
      <c r="E84" s="76"/>
      <c r="F84" s="71"/>
      <c r="G84" s="72"/>
    </row>
    <row r="85" spans="1:7" s="95" customFormat="1" ht="12" x14ac:dyDescent="0.25">
      <c r="A85" s="90" t="s">
        <v>210</v>
      </c>
      <c r="B85" s="79"/>
      <c r="C85" s="91"/>
      <c r="D85" s="92"/>
      <c r="E85" s="93"/>
      <c r="F85" s="94"/>
      <c r="G85" s="90"/>
    </row>
    <row r="86" spans="1:7" s="61" customFormat="1" x14ac:dyDescent="0.25">
      <c r="A86" s="77"/>
      <c r="B86" s="77" t="s">
        <v>211</v>
      </c>
      <c r="C86" s="82" t="s">
        <v>142</v>
      </c>
      <c r="D86" s="83">
        <v>76726828.959999993</v>
      </c>
      <c r="E86" s="84">
        <f>0.6070457799/3</f>
        <v>0.20234859329999999</v>
      </c>
      <c r="F86" s="97">
        <v>43185</v>
      </c>
      <c r="G86" s="85">
        <v>43196</v>
      </c>
    </row>
    <row r="87" spans="1:7" s="74" customFormat="1" ht="24" x14ac:dyDescent="0.25">
      <c r="A87" s="78"/>
      <c r="B87" s="78" t="s">
        <v>212</v>
      </c>
      <c r="C87" s="86" t="s">
        <v>206</v>
      </c>
      <c r="D87" s="87">
        <v>280000000</v>
      </c>
      <c r="E87" s="88">
        <f>2.2152983599/3</f>
        <v>0.73843278663333323</v>
      </c>
      <c r="F87" s="98">
        <v>43227</v>
      </c>
      <c r="G87" s="89">
        <v>43237</v>
      </c>
    </row>
    <row r="88" spans="1:7" s="61" customFormat="1" x14ac:dyDescent="0.25">
      <c r="A88" s="77"/>
      <c r="B88" s="77" t="s">
        <v>213</v>
      </c>
      <c r="C88" s="82" t="s">
        <v>142</v>
      </c>
      <c r="D88" s="83">
        <v>51382618.479999997</v>
      </c>
      <c r="E88" s="84">
        <f>0.4065279659/3</f>
        <v>0.13550932196666668</v>
      </c>
      <c r="F88" s="97">
        <v>43276</v>
      </c>
      <c r="G88" s="85">
        <v>43329</v>
      </c>
    </row>
    <row r="89" spans="1:7" s="74" customFormat="1" x14ac:dyDescent="0.25">
      <c r="A89" s="78"/>
      <c r="B89" s="78" t="s">
        <v>214</v>
      </c>
      <c r="C89" s="86" t="s">
        <v>142</v>
      </c>
      <c r="D89" s="87">
        <v>54541843.939999998</v>
      </c>
      <c r="E89" s="88">
        <f>0.4315230622/3</f>
        <v>0.14384102073333332</v>
      </c>
      <c r="F89" s="98">
        <v>43367</v>
      </c>
      <c r="G89" s="89">
        <v>43420</v>
      </c>
    </row>
    <row r="90" spans="1:7" s="61" customFormat="1" x14ac:dyDescent="0.25">
      <c r="A90" s="77"/>
      <c r="B90" s="77" t="s">
        <v>215</v>
      </c>
      <c r="C90" s="82" t="s">
        <v>142</v>
      </c>
      <c r="D90" s="83">
        <v>92231328.840000004</v>
      </c>
      <c r="E90" s="84">
        <f>0.7297139697/3</f>
        <v>0.24323798990000001</v>
      </c>
      <c r="F90" s="97">
        <v>43532</v>
      </c>
      <c r="G90" s="85">
        <v>43626</v>
      </c>
    </row>
    <row r="91" spans="1:7" s="95" customFormat="1" ht="24" x14ac:dyDescent="0.25">
      <c r="A91" s="90" t="s">
        <v>216</v>
      </c>
      <c r="B91" s="79"/>
      <c r="C91" s="91"/>
      <c r="D91" s="92">
        <v>554882620.22000003</v>
      </c>
      <c r="E91" s="93">
        <f>SUM(E86:E90)</f>
        <v>1.4633697125333334</v>
      </c>
      <c r="F91" s="94" t="s">
        <v>32</v>
      </c>
      <c r="G91" s="90" t="s">
        <v>32</v>
      </c>
    </row>
    <row r="92" spans="1:7" s="73" customFormat="1" ht="14.25" x14ac:dyDescent="0.25">
      <c r="A92" s="68"/>
      <c r="B92" s="68"/>
      <c r="C92" s="69"/>
      <c r="D92" s="70"/>
      <c r="E92" s="76"/>
      <c r="F92" s="71"/>
      <c r="G92" s="72"/>
    </row>
    <row r="93" spans="1:7" s="95" customFormat="1" ht="12" x14ac:dyDescent="0.25">
      <c r="A93" s="90" t="s">
        <v>217</v>
      </c>
      <c r="B93" s="79"/>
      <c r="C93" s="91"/>
      <c r="D93" s="92"/>
      <c r="E93" s="93"/>
      <c r="F93" s="94"/>
      <c r="G93" s="90"/>
    </row>
    <row r="94" spans="1:7" s="81" customFormat="1" ht="12" x14ac:dyDescent="0.25">
      <c r="A94" s="77"/>
      <c r="B94" s="77" t="s">
        <v>218</v>
      </c>
      <c r="C94" s="82" t="s">
        <v>415</v>
      </c>
      <c r="D94" s="83">
        <v>52988119.399999999</v>
      </c>
      <c r="E94" s="84">
        <f>0.4192303357/3</f>
        <v>0.13974344523333335</v>
      </c>
      <c r="F94" s="97">
        <v>43550</v>
      </c>
      <c r="G94" s="85">
        <v>43605</v>
      </c>
    </row>
    <row r="95" spans="1:7" s="80" customFormat="1" ht="12" x14ac:dyDescent="0.25">
      <c r="B95" s="80" t="s">
        <v>219</v>
      </c>
      <c r="C95" s="86" t="s">
        <v>416</v>
      </c>
      <c r="D95" s="99">
        <v>20963137.079999998</v>
      </c>
      <c r="E95" s="100">
        <f>0.1658557257/3</f>
        <v>5.5285241900000004E-2</v>
      </c>
      <c r="F95" s="101">
        <v>43637</v>
      </c>
      <c r="G95" s="214">
        <v>43690</v>
      </c>
    </row>
    <row r="96" spans="1:7" s="80" customFormat="1" ht="12" x14ac:dyDescent="0.25">
      <c r="A96" s="77"/>
      <c r="B96" s="77" t="s">
        <v>388</v>
      </c>
      <c r="C96" s="82" t="s">
        <v>417</v>
      </c>
      <c r="D96" s="83">
        <v>52129564.030000001</v>
      </c>
      <c r="E96" s="84">
        <f>0.4124376346/3</f>
        <v>0.13747921153333334</v>
      </c>
      <c r="F96" s="97">
        <v>43727</v>
      </c>
      <c r="G96" s="85">
        <v>43787</v>
      </c>
    </row>
    <row r="97" spans="1:7" s="80" customFormat="1" ht="12" x14ac:dyDescent="0.25">
      <c r="B97" s="80" t="s">
        <v>413</v>
      </c>
      <c r="C97" s="86" t="s">
        <v>418</v>
      </c>
      <c r="D97" s="99">
        <v>84506107.010000005</v>
      </c>
      <c r="E97" s="100">
        <f>0.6685937152302/3</f>
        <v>0.22286457174339999</v>
      </c>
      <c r="F97" s="101">
        <v>43915</v>
      </c>
      <c r="G97" s="89">
        <v>44008</v>
      </c>
    </row>
    <row r="98" spans="1:7" s="80" customFormat="1" ht="24" x14ac:dyDescent="0.25">
      <c r="A98" s="90" t="s">
        <v>414</v>
      </c>
      <c r="B98" s="79"/>
      <c r="C98" s="91"/>
      <c r="D98" s="92">
        <f>SUM(D94:D97)</f>
        <v>210586927.51999998</v>
      </c>
      <c r="E98" s="93">
        <f>SUM(E94:E97)</f>
        <v>0.55537247041006665</v>
      </c>
      <c r="F98" s="94" t="s">
        <v>32</v>
      </c>
      <c r="G98" s="90" t="s">
        <v>32</v>
      </c>
    </row>
    <row r="99" spans="1:7" s="80" customFormat="1" ht="12.75" x14ac:dyDescent="0.25">
      <c r="A99" s="68"/>
      <c r="B99" s="68"/>
      <c r="C99" s="69"/>
      <c r="D99" s="70"/>
      <c r="E99" s="76"/>
      <c r="F99" s="71"/>
      <c r="G99" s="72"/>
    </row>
    <row r="100" spans="1:7" s="80" customFormat="1" ht="12" x14ac:dyDescent="0.25">
      <c r="A100" s="90" t="s">
        <v>442</v>
      </c>
      <c r="B100" s="79"/>
      <c r="C100" s="91"/>
      <c r="D100" s="92"/>
      <c r="E100" s="93"/>
      <c r="F100" s="94"/>
      <c r="G100" s="90"/>
    </row>
    <row r="101" spans="1:7" s="80" customFormat="1" ht="12" customHeight="1" x14ac:dyDescent="0.25">
      <c r="A101" s="77"/>
      <c r="B101" s="77" t="s">
        <v>419</v>
      </c>
      <c r="C101" s="82" t="s">
        <v>423</v>
      </c>
      <c r="D101" s="83">
        <v>45465821.25</v>
      </c>
      <c r="E101" s="84">
        <f>0.3597155687/3</f>
        <v>0.11990518956666667</v>
      </c>
      <c r="F101" s="97">
        <v>43915</v>
      </c>
      <c r="G101" s="85">
        <v>43970</v>
      </c>
    </row>
    <row r="102" spans="1:7" s="80" customFormat="1" ht="12" customHeight="1" x14ac:dyDescent="0.25">
      <c r="B102" s="80" t="s">
        <v>432</v>
      </c>
      <c r="C102" s="86" t="s">
        <v>431</v>
      </c>
      <c r="D102" s="99">
        <v>43896091.969999999</v>
      </c>
      <c r="E102" s="100">
        <f>0.3472962162/3</f>
        <v>0.11576540540000001</v>
      </c>
      <c r="F102" s="101">
        <v>44005</v>
      </c>
      <c r="G102" s="214">
        <v>44060</v>
      </c>
    </row>
    <row r="103" spans="1:7" s="61" customFormat="1" ht="12" customHeight="1" x14ac:dyDescent="0.25">
      <c r="A103" s="77"/>
      <c r="B103" s="77" t="s">
        <v>434</v>
      </c>
      <c r="C103" s="82" t="s">
        <v>435</v>
      </c>
      <c r="D103" s="83">
        <v>63124052.770000003</v>
      </c>
      <c r="E103" s="84">
        <f>0.4994236092/3</f>
        <v>0.16647453640000001</v>
      </c>
      <c r="F103" s="97">
        <v>44096</v>
      </c>
      <c r="G103" s="85">
        <v>44151</v>
      </c>
    </row>
    <row r="104" spans="1:7" s="61" customFormat="1" ht="24" x14ac:dyDescent="0.25">
      <c r="A104" s="80"/>
      <c r="B104" s="80" t="s">
        <v>437</v>
      </c>
      <c r="C104" s="86" t="s">
        <v>438</v>
      </c>
      <c r="D104" s="99">
        <v>820000000</v>
      </c>
      <c r="E104" s="100">
        <f>6.48765948269144/3</f>
        <v>2.1625531608971467</v>
      </c>
      <c r="F104" s="101">
        <v>44154</v>
      </c>
      <c r="G104" s="214">
        <v>44175</v>
      </c>
    </row>
    <row r="105" spans="1:7" s="61" customFormat="1" ht="24" x14ac:dyDescent="0.25">
      <c r="A105" s="77"/>
      <c r="B105" s="77" t="s">
        <v>439</v>
      </c>
      <c r="C105" s="82" t="s">
        <v>440</v>
      </c>
      <c r="D105" s="83">
        <v>75540425.840000004</v>
      </c>
      <c r="E105" s="84">
        <v>0.19921973979999999</v>
      </c>
      <c r="F105" s="97">
        <v>44257</v>
      </c>
      <c r="G105" s="85" t="s">
        <v>441</v>
      </c>
    </row>
    <row r="106" spans="1:7" s="61" customFormat="1" ht="24" x14ac:dyDescent="0.25">
      <c r="A106" s="90" t="s">
        <v>447</v>
      </c>
      <c r="B106" s="79"/>
      <c r="C106" s="91"/>
      <c r="D106" s="92">
        <f>SUM(D101:D105)</f>
        <v>1048026391.83</v>
      </c>
      <c r="E106" s="93">
        <f>SUM(E101:E105)</f>
        <v>2.7639180320638137</v>
      </c>
      <c r="F106" s="94" t="s">
        <v>32</v>
      </c>
      <c r="G106" s="90" t="s">
        <v>32</v>
      </c>
    </row>
    <row r="107" spans="1:7" s="61" customFormat="1" x14ac:dyDescent="0.25">
      <c r="A107" s="68"/>
      <c r="B107" s="68"/>
      <c r="C107" s="69"/>
      <c r="D107" s="70"/>
      <c r="E107" s="76"/>
      <c r="F107" s="71"/>
      <c r="G107" s="72"/>
    </row>
    <row r="108" spans="1:7" s="61" customFormat="1" x14ac:dyDescent="0.25">
      <c r="A108" s="90" t="s">
        <v>451</v>
      </c>
      <c r="B108" s="79"/>
      <c r="C108" s="91"/>
      <c r="D108" s="92"/>
      <c r="E108" s="93"/>
      <c r="F108" s="94"/>
      <c r="G108" s="90"/>
    </row>
    <row r="109" spans="1:7" s="61" customFormat="1" x14ac:dyDescent="0.25">
      <c r="A109" s="77"/>
      <c r="B109" s="77" t="s">
        <v>448</v>
      </c>
      <c r="C109" s="82" t="s">
        <v>449</v>
      </c>
      <c r="D109" s="83">
        <v>64843860.93</v>
      </c>
      <c r="E109" s="84">
        <v>0.17101011760000001</v>
      </c>
      <c r="F109" s="97">
        <v>44279</v>
      </c>
      <c r="G109" s="85" t="s">
        <v>450</v>
      </c>
    </row>
    <row r="110" spans="1:7" s="61" customFormat="1" x14ac:dyDescent="0.25">
      <c r="A110" s="80"/>
      <c r="B110" s="80"/>
      <c r="C110" s="86"/>
      <c r="D110" s="99"/>
      <c r="E110" s="100"/>
      <c r="F110" s="101"/>
      <c r="G110" s="214"/>
    </row>
    <row r="111" spans="1:7" ht="12" customHeight="1" x14ac:dyDescent="0.25">
      <c r="A111" s="77"/>
      <c r="B111" s="77"/>
      <c r="C111" s="82"/>
      <c r="D111" s="83"/>
      <c r="E111" s="84"/>
      <c r="F111" s="97"/>
      <c r="G111" s="85"/>
    </row>
    <row r="112" spans="1:7" x14ac:dyDescent="0.25">
      <c r="A112" s="395" t="s">
        <v>220</v>
      </c>
      <c r="B112" s="396"/>
      <c r="C112" s="396"/>
      <c r="D112" s="396"/>
      <c r="E112" s="396"/>
      <c r="F112" s="396"/>
      <c r="G112" s="397"/>
    </row>
    <row r="113" spans="1:7" x14ac:dyDescent="0.25">
      <c r="A113" s="398" t="s">
        <v>221</v>
      </c>
      <c r="B113" s="399"/>
      <c r="C113" s="399"/>
      <c r="D113" s="399"/>
      <c r="E113" s="399"/>
      <c r="F113" s="399"/>
      <c r="G113" s="400"/>
    </row>
    <row r="114" spans="1:7" s="1" customFormat="1" x14ac:dyDescent="0.25">
      <c r="A114" s="401" t="s">
        <v>446</v>
      </c>
      <c r="B114" s="402"/>
      <c r="C114" s="402"/>
      <c r="D114" s="402"/>
      <c r="E114" s="402"/>
      <c r="F114" s="402"/>
      <c r="G114" s="403"/>
    </row>
    <row r="115" spans="1:7" x14ac:dyDescent="0.25"/>
    <row r="116" spans="1:7" x14ac:dyDescent="0.25"/>
  </sheetData>
  <mergeCells count="4">
    <mergeCell ref="C1:G1"/>
    <mergeCell ref="A112:G112"/>
    <mergeCell ref="A113:G113"/>
    <mergeCell ref="A114:G11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DRE</vt:lpstr>
      <vt:lpstr>BalancoPatrimonial</vt:lpstr>
      <vt:lpstr>Endividamento</vt:lpstr>
      <vt:lpstr>HighlightsFinanc_Invest</vt:lpstr>
      <vt:lpstr>DadosOperacionais</vt:lpstr>
      <vt:lpstr>Breakdown Categoria</vt:lpstr>
      <vt:lpstr>Dividendos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itautec10</dc:creator>
  <cp:lastModifiedBy>Daniel Augusto</cp:lastModifiedBy>
  <cp:lastPrinted>2019-07-24T18:30:27Z</cp:lastPrinted>
  <dcterms:created xsi:type="dcterms:W3CDTF">2019-04-23T19:56:50Z</dcterms:created>
  <dcterms:modified xsi:type="dcterms:W3CDTF">2021-03-19T20:23:36Z</dcterms:modified>
</cp:coreProperties>
</file>