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VULGAÇÕES TRIMESTRAIS\2026\1T26\Planilha de Fundamentos\"/>
    </mc:Choice>
  </mc:AlternateContent>
  <xr:revisionPtr revIDLastSave="0" documentId="13_ncr:1_{BC43780F-6075-4C7E-93AB-39C1415DA048}" xr6:coauthVersionLast="47" xr6:coauthVersionMax="47" xr10:uidLastSave="{00000000-0000-0000-0000-000000000000}"/>
  <bookViews>
    <workbookView xWindow="28680" yWindow="-120" windowWidth="29040" windowHeight="15720" activeTab="2" xr2:uid="{6B033261-01E7-4C3B-AE93-C7D065F34542}"/>
  </bookViews>
  <sheets>
    <sheet name="IS" sheetId="3" r:id="rId1"/>
    <sheet name="BS" sheetId="41" r:id="rId2"/>
    <sheet name="Info" sheetId="45" r:id="rId3"/>
  </sheets>
  <externalReferences>
    <externalReference r:id="rId4"/>
    <externalReference r:id="rId5"/>
  </externalReferences>
  <definedNames>
    <definedName name="_xlnm._FilterDatabase" localSheetId="1" hidden="1">BS!$D$7:$R$71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17  Page 11   5_15236ad0-1bfb-42c7-8091-f57a200c37a8" name="Table017  Page 11   5" connection="Consulta - Table017 (Page 11) (5)"/>
          <x15:modelTable id="Table018  Page 12   4_1f94eda3-5cbc-4dd7-8ef1-8fa5baf82149" name="Table018  Page 12   4" connection="Consulta - Table018 (Page 12) (4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2" i="3" l="1"/>
  <c r="AI107" i="3"/>
  <c r="AI102" i="3"/>
  <c r="AI97" i="3"/>
  <c r="AI110" i="3"/>
  <c r="AI109" i="3"/>
  <c r="AI108" i="3"/>
  <c r="AI129" i="3"/>
  <c r="AI128" i="3"/>
  <c r="AI127" i="3"/>
  <c r="AI119" i="3"/>
  <c r="AI126" i="3"/>
  <c r="AI125" i="3"/>
  <c r="AI88" i="3"/>
  <c r="AI80" i="3"/>
  <c r="AI65" i="3"/>
  <c r="AI53" i="3"/>
  <c r="AB32" i="45"/>
  <c r="AA32" i="45"/>
  <c r="AB25" i="45"/>
  <c r="AA25" i="45"/>
  <c r="AB84" i="41" l="1"/>
  <c r="AF31" i="3" l="1"/>
  <c r="AA76" i="41"/>
  <c r="AA59" i="41"/>
  <c r="Z31" i="45"/>
  <c r="AG114" i="3"/>
  <c r="AH17" i="3"/>
  <c r="AA7" i="41" l="1"/>
  <c r="AG67" i="3"/>
  <c r="AG18" i="3" l="1"/>
  <c r="AG66" i="3"/>
  <c r="AH115" i="3"/>
  <c r="AH117" i="3"/>
  <c r="AH118" i="3"/>
  <c r="AH123" i="3"/>
  <c r="AH122" i="3" l="1"/>
  <c r="AH121" i="3"/>
  <c r="AH120" i="3"/>
  <c r="AG116" i="3"/>
  <c r="AH116" i="3" s="1"/>
  <c r="AH114" i="3"/>
  <c r="AG110" i="3"/>
  <c r="AG109" i="3"/>
  <c r="AG108" i="3"/>
  <c r="AF46" i="3" l="1"/>
  <c r="AF45" i="3" s="1"/>
  <c r="AF49" i="3" s="1"/>
  <c r="AF97" i="3" l="1"/>
  <c r="AF81" i="3"/>
  <c r="AF89" i="3" s="1"/>
  <c r="AF18" i="3"/>
  <c r="AH22" i="3"/>
  <c r="AH21" i="3"/>
  <c r="AG68" i="3"/>
  <c r="AG75" i="3" s="1"/>
  <c r="AF68" i="3"/>
  <c r="AF75" i="3" s="1"/>
  <c r="AH20" i="3" l="1"/>
  <c r="AH19" i="3"/>
  <c r="AH81" i="3" s="1"/>
  <c r="AF67" i="3"/>
  <c r="AF74" i="3" s="1"/>
  <c r="AG74" i="3"/>
  <c r="AG73" i="3"/>
  <c r="AF66" i="3"/>
  <c r="AF73" i="3" s="1"/>
  <c r="AF65" i="3" l="1"/>
  <c r="X17" i="3"/>
  <c r="AC17" i="3"/>
  <c r="AG125" i="3" l="1"/>
  <c r="AG119" i="3"/>
  <c r="AG113" i="3"/>
  <c r="AG107" i="3"/>
  <c r="AG65" i="3"/>
  <c r="AH95" i="3"/>
  <c r="AH94" i="3"/>
  <c r="AH87" i="3"/>
  <c r="AH86" i="3"/>
  <c r="AH79" i="3"/>
  <c r="AH78" i="3"/>
  <c r="AH71" i="3"/>
  <c r="AH70" i="3"/>
  <c r="AH64" i="3"/>
  <c r="AH63" i="3"/>
  <c r="AH52" i="3"/>
  <c r="AH51" i="3"/>
  <c r="AH26" i="3"/>
  <c r="AH25" i="3"/>
  <c r="AH10" i="3"/>
  <c r="AH11" i="3"/>
  <c r="D31" i="3"/>
  <c r="AG72" i="3" l="1"/>
  <c r="Y31" i="45"/>
  <c r="Y25" i="45"/>
  <c r="Z25" i="45"/>
  <c r="Z59" i="41"/>
  <c r="AA45" i="41"/>
  <c r="AA31" i="41"/>
  <c r="AA57" i="41" s="1"/>
  <c r="AA72" i="41" s="1"/>
  <c r="AA17" i="41"/>
  <c r="Z7" i="41"/>
  <c r="AA84" i="41"/>
  <c r="Z32" i="45" l="1"/>
  <c r="Y32" i="45"/>
  <c r="AA29" i="41"/>
  <c r="AA74" i="41" s="1"/>
  <c r="AA79" i="41"/>
  <c r="AA82" i="41" s="1"/>
  <c r="AA78" i="41"/>
  <c r="AA77" i="41"/>
  <c r="AA81" i="41" s="1"/>
  <c r="U31" i="3"/>
  <c r="V31" i="3"/>
  <c r="W31" i="3"/>
  <c r="Y31" i="3"/>
  <c r="Z31" i="3"/>
  <c r="AA31" i="3"/>
  <c r="AB31" i="3"/>
  <c r="AD31" i="3"/>
  <c r="AE31" i="3"/>
  <c r="AF119" i="3"/>
  <c r="F45" i="3"/>
  <c r="F49" i="3" s="1"/>
  <c r="AE45" i="3"/>
  <c r="AE49" i="3" s="1"/>
  <c r="AD45" i="3"/>
  <c r="AD49" i="3" s="1"/>
  <c r="AC45" i="3"/>
  <c r="AB45" i="3"/>
  <c r="AB49" i="3" s="1"/>
  <c r="AA45" i="3"/>
  <c r="Z45" i="3"/>
  <c r="Z49" i="3" s="1"/>
  <c r="Y45" i="3"/>
  <c r="Y49" i="3" s="1"/>
  <c r="X45" i="3"/>
  <c r="W45" i="3"/>
  <c r="W49" i="3" s="1"/>
  <c r="V45" i="3"/>
  <c r="V49" i="3" s="1"/>
  <c r="U45" i="3"/>
  <c r="U49" i="3" s="1"/>
  <c r="T45" i="3"/>
  <c r="T49" i="3" s="1"/>
  <c r="S45" i="3"/>
  <c r="S49" i="3" s="1"/>
  <c r="R45" i="3"/>
  <c r="R49" i="3" s="1"/>
  <c r="Q45" i="3"/>
  <c r="Q49" i="3" s="1"/>
  <c r="P45" i="3"/>
  <c r="O45" i="3"/>
  <c r="N45" i="3"/>
  <c r="N49" i="3" s="1"/>
  <c r="M45" i="3"/>
  <c r="M49" i="3" s="1"/>
  <c r="L45" i="3"/>
  <c r="L49" i="3" s="1"/>
  <c r="K45" i="3"/>
  <c r="K49" i="3" s="1"/>
  <c r="J45" i="3"/>
  <c r="J49" i="3" s="1"/>
  <c r="I45" i="3"/>
  <c r="I49" i="3" s="1"/>
  <c r="H45" i="3"/>
  <c r="H49" i="3" s="1"/>
  <c r="G45" i="3"/>
  <c r="G49" i="3" s="1"/>
  <c r="E45" i="3"/>
  <c r="D45" i="3"/>
  <c r="D49" i="3" s="1"/>
  <c r="AA49" i="3"/>
  <c r="P49" i="3"/>
  <c r="O49" i="3"/>
  <c r="E49" i="3"/>
  <c r="AC59" i="3" l="1"/>
  <c r="AF55" i="3"/>
  <c r="AF54" i="3"/>
  <c r="AF53" i="3"/>
  <c r="AF32" i="3"/>
  <c r="AA88" i="41" l="1"/>
  <c r="AA86" i="41"/>
  <c r="AF57" i="3"/>
  <c r="AE27" i="3" l="1"/>
  <c r="AF27" i="3"/>
  <c r="AF36" i="3" s="1"/>
  <c r="AD27" i="3"/>
  <c r="AB27" i="3"/>
  <c r="AA27" i="3"/>
  <c r="Z27" i="3"/>
  <c r="Y27" i="3"/>
  <c r="AE18" i="3"/>
  <c r="AE12" i="3"/>
  <c r="AF42" i="3" l="1"/>
  <c r="AF72" i="3"/>
  <c r="AF129" i="3"/>
  <c r="AF128" i="3"/>
  <c r="AF127" i="3"/>
  <c r="AF126" i="3"/>
  <c r="AF109" i="3" l="1"/>
  <c r="AF110" i="3"/>
  <c r="AF108" i="3"/>
  <c r="AF84" i="3" l="1"/>
  <c r="AF92" i="3" s="1"/>
  <c r="AF83" i="3"/>
  <c r="AF91" i="3" s="1"/>
  <c r="AF82" i="3"/>
  <c r="AF90" i="3" s="1"/>
  <c r="AF80" i="3" l="1"/>
  <c r="AF12" i="3"/>
  <c r="AF125" i="3"/>
  <c r="AF113" i="3"/>
  <c r="AF107" i="3"/>
  <c r="AF102" i="3"/>
  <c r="AE81" i="3"/>
  <c r="AE86" i="3"/>
  <c r="AE97" i="3"/>
  <c r="AE95" i="3"/>
  <c r="AE94" i="3"/>
  <c r="AE87" i="3"/>
  <c r="AE84" i="3"/>
  <c r="AE92" i="3" s="1"/>
  <c r="AE83" i="3"/>
  <c r="AE91" i="3" s="1"/>
  <c r="AE82" i="3"/>
  <c r="AE90" i="3" s="1"/>
  <c r="AE79" i="3"/>
  <c r="AE78" i="3"/>
  <c r="AE102" i="3"/>
  <c r="AE119" i="3"/>
  <c r="AE113" i="3"/>
  <c r="Z84" i="41"/>
  <c r="AE89" i="3" l="1"/>
  <c r="AE80" i="3"/>
  <c r="AE88" i="3" s="1"/>
  <c r="AF60" i="3"/>
  <c r="AF58" i="3"/>
  <c r="AF88" i="3"/>
  <c r="Z79" i="41"/>
  <c r="Z78" i="41"/>
  <c r="Z77" i="41"/>
  <c r="Z76" i="41"/>
  <c r="Y77" i="41"/>
  <c r="Y78" i="41"/>
  <c r="Y84" i="41"/>
  <c r="Y79" i="41"/>
  <c r="Y76" i="41"/>
  <c r="AE129" i="3"/>
  <c r="AE128" i="3"/>
  <c r="AE127" i="3"/>
  <c r="AE126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AE110" i="3"/>
  <c r="AE109" i="3"/>
  <c r="AE108" i="3"/>
  <c r="AD110" i="3"/>
  <c r="AD109" i="3"/>
  <c r="AD108" i="3"/>
  <c r="AD97" i="3"/>
  <c r="AD102" i="3"/>
  <c r="AD113" i="3"/>
  <c r="AH113" i="3" s="1"/>
  <c r="AD119" i="3"/>
  <c r="AH119" i="3" s="1"/>
  <c r="AC123" i="3"/>
  <c r="AC122" i="3"/>
  <c r="AC121" i="3"/>
  <c r="AC120" i="3"/>
  <c r="AC117" i="3"/>
  <c r="AC116" i="3"/>
  <c r="AC115" i="3"/>
  <c r="AC114" i="3"/>
  <c r="AB113" i="3"/>
  <c r="AB119" i="3"/>
  <c r="AA128" i="3"/>
  <c r="AA129" i="3"/>
  <c r="AA113" i="3"/>
  <c r="AA119" i="3"/>
  <c r="Z113" i="3"/>
  <c r="Z119" i="3"/>
  <c r="AE107" i="3" l="1"/>
  <c r="Y82" i="41"/>
  <c r="Y88" i="41" s="1"/>
  <c r="Z82" i="41"/>
  <c r="AE125" i="3"/>
  <c r="Z81" i="41"/>
  <c r="Z86" i="41" s="1"/>
  <c r="Y81" i="41"/>
  <c r="AD107" i="3"/>
  <c r="AC119" i="3"/>
  <c r="AC113" i="3"/>
  <c r="AD129" i="3"/>
  <c r="AH129" i="3" s="1"/>
  <c r="AC129" i="3"/>
  <c r="AB129" i="3"/>
  <c r="Z129" i="3"/>
  <c r="AD128" i="3"/>
  <c r="AH128" i="3" s="1"/>
  <c r="AC128" i="3"/>
  <c r="AB128" i="3"/>
  <c r="Z128" i="3"/>
  <c r="AD127" i="3"/>
  <c r="AH127" i="3" s="1"/>
  <c r="AC127" i="3"/>
  <c r="AB127" i="3"/>
  <c r="AA127" i="3"/>
  <c r="Z127" i="3"/>
  <c r="AD126" i="3"/>
  <c r="AH126" i="3" s="1"/>
  <c r="AC126" i="3"/>
  <c r="AB126" i="3"/>
  <c r="AA126" i="3"/>
  <c r="Z126" i="3"/>
  <c r="Y119" i="3"/>
  <c r="Y113" i="3"/>
  <c r="Y129" i="3"/>
  <c r="Y128" i="3"/>
  <c r="Y127" i="3"/>
  <c r="Y126" i="3"/>
  <c r="Z88" i="41" l="1"/>
  <c r="Y86" i="41"/>
  <c r="Y125" i="3"/>
  <c r="AA125" i="3"/>
  <c r="AD125" i="3"/>
  <c r="AH125" i="3" s="1"/>
  <c r="AC125" i="3"/>
  <c r="AB125" i="3"/>
  <c r="Z125" i="3"/>
  <c r="AD68" i="3"/>
  <c r="AB68" i="3"/>
  <c r="AB75" i="3" s="1"/>
  <c r="AA68" i="3"/>
  <c r="AA75" i="3" s="1"/>
  <c r="Z68" i="3"/>
  <c r="Z75" i="3" s="1"/>
  <c r="Y68" i="3"/>
  <c r="Y75" i="3" s="1"/>
  <c r="AD67" i="3"/>
  <c r="AB67" i="3"/>
  <c r="AB74" i="3" s="1"/>
  <c r="AA67" i="3"/>
  <c r="AA74" i="3" s="1"/>
  <c r="Z67" i="3"/>
  <c r="Z74" i="3" s="1"/>
  <c r="Y67" i="3"/>
  <c r="Y74" i="3" s="1"/>
  <c r="AD66" i="3"/>
  <c r="AB66" i="3"/>
  <c r="AA66" i="3"/>
  <c r="Z66" i="3"/>
  <c r="Y66" i="3"/>
  <c r="X79" i="41"/>
  <c r="X78" i="41"/>
  <c r="X77" i="41"/>
  <c r="X76" i="41"/>
  <c r="Y59" i="41"/>
  <c r="Z45" i="41"/>
  <c r="Z31" i="41"/>
  <c r="AD74" i="3" l="1"/>
  <c r="AD75" i="3"/>
  <c r="Y73" i="3"/>
  <c r="Y65" i="3"/>
  <c r="Y72" i="3" s="1"/>
  <c r="AA73" i="3"/>
  <c r="AA65" i="3"/>
  <c r="AA72" i="3" s="1"/>
  <c r="Z57" i="41"/>
  <c r="Z72" i="41" s="1"/>
  <c r="AD73" i="3"/>
  <c r="AD65" i="3"/>
  <c r="AD72" i="3" s="1"/>
  <c r="Z73" i="3"/>
  <c r="Z65" i="3"/>
  <c r="Z72" i="3" s="1"/>
  <c r="X81" i="41"/>
  <c r="AB73" i="3"/>
  <c r="AB65" i="3"/>
  <c r="AB72" i="3" s="1"/>
  <c r="Z17" i="41"/>
  <c r="Z29" i="41" s="1"/>
  <c r="Z74" i="41" l="1"/>
  <c r="X31" i="45"/>
  <c r="X25" i="45"/>
  <c r="AE60" i="3"/>
  <c r="X44" i="3"/>
  <c r="X49" i="3" s="1"/>
  <c r="X43" i="3"/>
  <c r="X42" i="3"/>
  <c r="X41" i="3"/>
  <c r="X40" i="3"/>
  <c r="X39" i="3"/>
  <c r="X38" i="3"/>
  <c r="AC35" i="3"/>
  <c r="AC30" i="3"/>
  <c r="AC34" i="3"/>
  <c r="AC29" i="3"/>
  <c r="AC67" i="3" s="1"/>
  <c r="AC28" i="3"/>
  <c r="AC68" i="3" l="1"/>
  <c r="AC27" i="3"/>
  <c r="X32" i="45"/>
  <c r="AC74" i="3"/>
  <c r="AC75" i="3"/>
  <c r="AC33" i="3"/>
  <c r="AC66" i="3" s="1"/>
  <c r="AC65" i="3" s="1"/>
  <c r="AC72" i="3" s="1"/>
  <c r="AC73" i="3" l="1"/>
  <c r="AE71" i="3"/>
  <c r="D26" i="3"/>
  <c r="D25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AE11" i="3"/>
  <c r="AE10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AE32" i="3" l="1"/>
  <c r="AE67" i="3"/>
  <c r="AE68" i="3"/>
  <c r="AE75" i="3" l="1"/>
  <c r="AH68" i="3"/>
  <c r="AH75" i="3" s="1"/>
  <c r="AE74" i="3"/>
  <c r="AH67" i="3"/>
  <c r="AH74" i="3" s="1"/>
  <c r="AE66" i="3"/>
  <c r="AH66" i="3" s="1"/>
  <c r="AE36" i="3"/>
  <c r="AE42" i="3" s="1"/>
  <c r="AH73" i="3" l="1"/>
  <c r="AH65" i="3"/>
  <c r="AH72" i="3" s="1"/>
  <c r="AE73" i="3"/>
  <c r="AE65" i="3"/>
  <c r="AE72" i="3" s="1"/>
  <c r="AE54" i="3"/>
  <c r="AE53" i="3"/>
  <c r="AE55" i="3"/>
  <c r="AE57" i="3" l="1"/>
  <c r="I59" i="3"/>
  <c r="I60" i="3" s="1"/>
  <c r="I55" i="3"/>
  <c r="I54" i="3"/>
  <c r="I31" i="3"/>
  <c r="T31" i="3"/>
  <c r="S31" i="3"/>
  <c r="R31" i="3"/>
  <c r="Q31" i="3"/>
  <c r="P31" i="3"/>
  <c r="O31" i="3"/>
  <c r="N31" i="3"/>
  <c r="M31" i="3"/>
  <c r="L31" i="3"/>
  <c r="K31" i="3"/>
  <c r="J31" i="3"/>
  <c r="H31" i="3"/>
  <c r="G31" i="3"/>
  <c r="F31" i="3"/>
  <c r="E31" i="3"/>
  <c r="D27" i="3"/>
  <c r="E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AE58" i="3" l="1"/>
  <c r="Y84" i="3"/>
  <c r="V25" i="45" l="1"/>
  <c r="B98" i="41"/>
  <c r="C98" i="41" s="1"/>
  <c r="B97" i="41"/>
  <c r="C97" i="41" s="1"/>
  <c r="B96" i="41"/>
  <c r="C96" i="41" s="1"/>
  <c r="I96" i="41"/>
  <c r="H96" i="41"/>
  <c r="G96" i="41"/>
  <c r="F96" i="41"/>
  <c r="E96" i="41"/>
  <c r="D96" i="41"/>
  <c r="B95" i="41"/>
  <c r="C95" i="41" s="1"/>
  <c r="I95" i="41"/>
  <c r="P79" i="41"/>
  <c r="G95" i="41" s="1"/>
  <c r="L79" i="41"/>
  <c r="F95" i="41" s="1"/>
  <c r="H79" i="41"/>
  <c r="E95" i="41" s="1"/>
  <c r="D79" i="41"/>
  <c r="D95" i="41" s="1"/>
  <c r="B102" i="41"/>
  <c r="C102" i="41" s="1"/>
  <c r="B103" i="41"/>
  <c r="C103" i="41" s="1"/>
  <c r="B104" i="41"/>
  <c r="C104" i="41" s="1"/>
  <c r="B92" i="41"/>
  <c r="C92" i="41" s="1"/>
  <c r="B93" i="41"/>
  <c r="C93" i="41" s="1"/>
  <c r="B94" i="41"/>
  <c r="C94" i="41" s="1"/>
  <c r="B99" i="41"/>
  <c r="C99" i="41" s="1"/>
  <c r="B100" i="41"/>
  <c r="C100" i="41" s="1"/>
  <c r="B101" i="41"/>
  <c r="C101" i="41" s="1"/>
  <c r="T84" i="41"/>
  <c r="H100" i="41" s="1"/>
  <c r="P84" i="41"/>
  <c r="G100" i="41" s="1"/>
  <c r="L84" i="41"/>
  <c r="F100" i="41" s="1"/>
  <c r="I94" i="41"/>
  <c r="I93" i="41"/>
  <c r="P78" i="41"/>
  <c r="G94" i="41" s="1"/>
  <c r="P77" i="41"/>
  <c r="G93" i="41" s="1"/>
  <c r="P76" i="41"/>
  <c r="L78" i="41"/>
  <c r="F94" i="41" s="1"/>
  <c r="L77" i="41"/>
  <c r="F93" i="41" s="1"/>
  <c r="L76" i="41"/>
  <c r="F92" i="41" s="1"/>
  <c r="H84" i="41"/>
  <c r="E100" i="41" s="1"/>
  <c r="H83" i="41"/>
  <c r="E99" i="41" s="1"/>
  <c r="H78" i="41"/>
  <c r="E94" i="41" s="1"/>
  <c r="H77" i="41"/>
  <c r="E93" i="41" s="1"/>
  <c r="H76" i="41"/>
  <c r="D84" i="41"/>
  <c r="D100" i="41" s="1"/>
  <c r="D77" i="41"/>
  <c r="D93" i="41" s="1"/>
  <c r="D78" i="41"/>
  <c r="D94" i="41" s="1"/>
  <c r="D76" i="41"/>
  <c r="D92" i="41" s="1"/>
  <c r="P82" i="41" l="1"/>
  <c r="G98" i="41" s="1"/>
  <c r="X82" i="41"/>
  <c r="I98" i="41" s="1"/>
  <c r="H82" i="41"/>
  <c r="D82" i="41"/>
  <c r="D98" i="41" s="1"/>
  <c r="L82" i="41"/>
  <c r="F98" i="41" s="1"/>
  <c r="P81" i="41"/>
  <c r="H81" i="41"/>
  <c r="E97" i="41" s="1"/>
  <c r="D81" i="41"/>
  <c r="D97" i="41" s="1"/>
  <c r="I97" i="41"/>
  <c r="I92" i="41"/>
  <c r="G92" i="41"/>
  <c r="L81" i="41"/>
  <c r="F97" i="41" s="1"/>
  <c r="E92" i="41"/>
  <c r="P88" i="41" l="1"/>
  <c r="G104" i="41" s="1"/>
  <c r="P86" i="41"/>
  <c r="G102" i="41" s="1"/>
  <c r="G97" i="41"/>
  <c r="H88" i="41"/>
  <c r="E104" i="41" s="1"/>
  <c r="E98" i="41"/>
  <c r="H87" i="41"/>
  <c r="E103" i="41" s="1"/>
  <c r="L88" i="41"/>
  <c r="F104" i="41" s="1"/>
  <c r="D86" i="41"/>
  <c r="D102" i="41" s="1"/>
  <c r="D88" i="41"/>
  <c r="D104" i="41" s="1"/>
  <c r="H85" i="41"/>
  <c r="E101" i="41" s="1"/>
  <c r="H86" i="41"/>
  <c r="E102" i="41" s="1"/>
  <c r="L86" i="41"/>
  <c r="F102" i="41" s="1"/>
  <c r="Y92" i="3" l="1"/>
  <c r="X59" i="41"/>
  <c r="X45" i="41"/>
  <c r="X31" i="41"/>
  <c r="X57" i="41" s="1"/>
  <c r="X17" i="41"/>
  <c r="X7" i="41"/>
  <c r="Z84" i="3"/>
  <c r="Z92" i="3" s="1"/>
  <c r="AA84" i="3"/>
  <c r="AA92" i="3" s="1"/>
  <c r="AB84" i="3"/>
  <c r="AB92" i="3" s="1"/>
  <c r="Y83" i="3"/>
  <c r="Y91" i="3" s="1"/>
  <c r="Z83" i="3"/>
  <c r="Z91" i="3" s="1"/>
  <c r="AA83" i="3"/>
  <c r="AA91" i="3" s="1"/>
  <c r="AB83" i="3"/>
  <c r="AB91" i="3" s="1"/>
  <c r="Y82" i="3"/>
  <c r="Y90" i="3" s="1"/>
  <c r="Z82" i="3"/>
  <c r="Z90" i="3" s="1"/>
  <c r="AA82" i="3"/>
  <c r="AA90" i="3" s="1"/>
  <c r="AB82" i="3"/>
  <c r="AB90" i="3" s="1"/>
  <c r="Y55" i="3"/>
  <c r="Z55" i="3"/>
  <c r="AA55" i="3"/>
  <c r="AB55" i="3"/>
  <c r="Y54" i="3"/>
  <c r="Z54" i="3"/>
  <c r="AA54" i="3"/>
  <c r="AB54" i="3"/>
  <c r="AB53" i="3"/>
  <c r="AA53" i="3"/>
  <c r="Z53" i="3"/>
  <c r="Y53" i="3"/>
  <c r="AB18" i="3"/>
  <c r="AB32" i="3" s="1"/>
  <c r="AA18" i="3"/>
  <c r="AA32" i="3" s="1"/>
  <c r="Z18" i="3"/>
  <c r="Z32" i="3" s="1"/>
  <c r="Y18" i="3"/>
  <c r="Y12" i="3"/>
  <c r="Z12" i="3"/>
  <c r="Z36" i="3" s="1"/>
  <c r="AA12" i="3"/>
  <c r="AA36" i="3" s="1"/>
  <c r="AB12" i="3"/>
  <c r="AB36" i="3" s="1"/>
  <c r="Y32" i="3" l="1"/>
  <c r="AC18" i="3"/>
  <c r="Y60" i="3"/>
  <c r="Y36" i="3"/>
  <c r="AA57" i="3"/>
  <c r="AA58" i="3" s="1"/>
  <c r="AB60" i="3"/>
  <c r="AA60" i="3"/>
  <c r="Z60" i="3"/>
  <c r="Y57" i="3"/>
  <c r="Y58" i="3" s="1"/>
  <c r="Z57" i="3"/>
  <c r="Z58" i="3" s="1"/>
  <c r="AB57" i="3"/>
  <c r="AB58" i="3" s="1"/>
  <c r="X29" i="41"/>
  <c r="X72" i="41"/>
  <c r="X74" i="41" l="1"/>
  <c r="AC31" i="3"/>
  <c r="AC16" i="3"/>
  <c r="AC15" i="3"/>
  <c r="AC14" i="3"/>
  <c r="AC13" i="3"/>
  <c r="Y81" i="3"/>
  <c r="Z81" i="3"/>
  <c r="AA81" i="3"/>
  <c r="AB81" i="3"/>
  <c r="AC57" i="3"/>
  <c r="X83" i="41" s="1"/>
  <c r="AC56" i="3"/>
  <c r="AC55" i="3"/>
  <c r="AC54" i="3"/>
  <c r="AC53" i="3"/>
  <c r="AC44" i="3"/>
  <c r="AC49" i="3" s="1"/>
  <c r="AC43" i="3"/>
  <c r="AC42" i="3"/>
  <c r="AC41" i="3"/>
  <c r="AC40" i="3"/>
  <c r="AC39" i="3"/>
  <c r="AC38" i="3"/>
  <c r="AC37" i="3"/>
  <c r="AC22" i="3"/>
  <c r="AC21" i="3"/>
  <c r="AC20" i="3"/>
  <c r="AC19" i="3"/>
  <c r="AC32" i="3"/>
  <c r="AC12" i="3"/>
  <c r="F22" i="3"/>
  <c r="F21" i="3"/>
  <c r="F20" i="3"/>
  <c r="F19" i="3"/>
  <c r="K22" i="3"/>
  <c r="K21" i="3"/>
  <c r="K20" i="3"/>
  <c r="K19" i="3"/>
  <c r="O36" i="3"/>
  <c r="P36" i="3"/>
  <c r="AC36" i="3" l="1"/>
  <c r="X87" i="41"/>
  <c r="X85" i="41"/>
  <c r="X84" i="41"/>
  <c r="AC60" i="3"/>
  <c r="AC82" i="3"/>
  <c r="AC90" i="3" s="1"/>
  <c r="AB89" i="3"/>
  <c r="AB80" i="3"/>
  <c r="AB88" i="3" s="1"/>
  <c r="AA89" i="3"/>
  <c r="AA80" i="3"/>
  <c r="AA88" i="3" s="1"/>
  <c r="Z89" i="3"/>
  <c r="Z80" i="3"/>
  <c r="Z88" i="3" s="1"/>
  <c r="Y89" i="3"/>
  <c r="Y80" i="3"/>
  <c r="Y88" i="3" s="1"/>
  <c r="AC81" i="3"/>
  <c r="AC83" i="3"/>
  <c r="AC91" i="3" s="1"/>
  <c r="AC58" i="3"/>
  <c r="AC84" i="3"/>
  <c r="AC92" i="3" s="1"/>
  <c r="AC80" i="3" l="1"/>
  <c r="AC88" i="3" s="1"/>
  <c r="X88" i="41"/>
  <c r="I104" i="41" s="1"/>
  <c r="X86" i="41"/>
  <c r="I102" i="41" s="1"/>
  <c r="AC89" i="3"/>
  <c r="I99" i="41"/>
  <c r="I103" i="41"/>
  <c r="I101" i="41"/>
  <c r="I100" i="41"/>
  <c r="N25" i="45"/>
  <c r="L25" i="45"/>
  <c r="K25" i="45"/>
  <c r="J25" i="45"/>
  <c r="I25" i="45"/>
  <c r="G25" i="45"/>
  <c r="F25" i="45"/>
  <c r="E25" i="45"/>
  <c r="D25" i="45"/>
  <c r="W22" i="45" l="1"/>
  <c r="W23" i="45" l="1"/>
  <c r="U45" i="41"/>
  <c r="U60" i="3" l="1"/>
  <c r="T60" i="3"/>
  <c r="S60" i="3"/>
  <c r="R60" i="3"/>
  <c r="Q60" i="3"/>
  <c r="P60" i="3"/>
  <c r="O60" i="3"/>
  <c r="N60" i="3"/>
  <c r="M60" i="3"/>
  <c r="L60" i="3"/>
  <c r="K60" i="3"/>
  <c r="J60" i="3"/>
  <c r="H60" i="3"/>
  <c r="G60" i="3"/>
  <c r="F60" i="3"/>
  <c r="E60" i="3"/>
  <c r="D60" i="3"/>
  <c r="U25" i="45" l="1"/>
  <c r="U31" i="45"/>
  <c r="M53" i="3"/>
  <c r="U32" i="45" l="1"/>
  <c r="V45" i="41"/>
  <c r="V31" i="41"/>
  <c r="V17" i="41"/>
  <c r="U7" i="41"/>
  <c r="V57" i="41" l="1"/>
  <c r="V59" i="41"/>
  <c r="V72" i="41" l="1"/>
  <c r="S81" i="3" l="1"/>
  <c r="F84" i="3"/>
  <c r="F92" i="3" s="1"/>
  <c r="G21" i="3"/>
  <c r="G20" i="3"/>
  <c r="G82" i="3" s="1"/>
  <c r="G90" i="3" s="1"/>
  <c r="F81" i="3"/>
  <c r="L22" i="3"/>
  <c r="L84" i="3" s="1"/>
  <c r="L92" i="3" s="1"/>
  <c r="L21" i="3"/>
  <c r="L83" i="3" s="1"/>
  <c r="L91" i="3" s="1"/>
  <c r="L20" i="3"/>
  <c r="L82" i="3" s="1"/>
  <c r="L90" i="3" s="1"/>
  <c r="K81" i="3"/>
  <c r="P22" i="3"/>
  <c r="P21" i="3"/>
  <c r="P83" i="3" s="1"/>
  <c r="P91" i="3" s="1"/>
  <c r="P20" i="3"/>
  <c r="P82" i="3" s="1"/>
  <c r="P90" i="3" s="1"/>
  <c r="P19" i="3"/>
  <c r="Q19" i="3" s="1"/>
  <c r="Q81" i="3" s="1"/>
  <c r="S84" i="3"/>
  <c r="S92" i="3" s="1"/>
  <c r="O84" i="3"/>
  <c r="O92" i="3" s="1"/>
  <c r="N84" i="3"/>
  <c r="N92" i="3" s="1"/>
  <c r="J84" i="3"/>
  <c r="J92" i="3" s="1"/>
  <c r="I84" i="3"/>
  <c r="I92" i="3" s="1"/>
  <c r="E84" i="3"/>
  <c r="E92" i="3" s="1"/>
  <c r="D84" i="3"/>
  <c r="D92" i="3" s="1"/>
  <c r="S83" i="3"/>
  <c r="S91" i="3" s="1"/>
  <c r="O83" i="3"/>
  <c r="O91" i="3" s="1"/>
  <c r="N83" i="3"/>
  <c r="N91" i="3" s="1"/>
  <c r="J83" i="3"/>
  <c r="J91" i="3" s="1"/>
  <c r="I83" i="3"/>
  <c r="I91" i="3" s="1"/>
  <c r="E83" i="3"/>
  <c r="E91" i="3" s="1"/>
  <c r="D83" i="3"/>
  <c r="D91" i="3" s="1"/>
  <c r="S82" i="3"/>
  <c r="S90" i="3" s="1"/>
  <c r="O82" i="3"/>
  <c r="O90" i="3" s="1"/>
  <c r="N82" i="3"/>
  <c r="N90" i="3" s="1"/>
  <c r="J82" i="3"/>
  <c r="J90" i="3" s="1"/>
  <c r="I82" i="3"/>
  <c r="I90" i="3" s="1"/>
  <c r="E82" i="3"/>
  <c r="E90" i="3" s="1"/>
  <c r="D82" i="3"/>
  <c r="D90" i="3" s="1"/>
  <c r="O81" i="3"/>
  <c r="N81" i="3"/>
  <c r="J81" i="3"/>
  <c r="I81" i="3"/>
  <c r="E81" i="3"/>
  <c r="D81" i="3"/>
  <c r="S18" i="3"/>
  <c r="S32" i="3" s="1"/>
  <c r="O18" i="3"/>
  <c r="O32" i="3" s="1"/>
  <c r="N18" i="3"/>
  <c r="N32" i="3" s="1"/>
  <c r="J18" i="3"/>
  <c r="J32" i="3" s="1"/>
  <c r="I18" i="3"/>
  <c r="I32" i="3" s="1"/>
  <c r="E18" i="3"/>
  <c r="E32" i="3" s="1"/>
  <c r="D18" i="3"/>
  <c r="D32" i="3" s="1"/>
  <c r="T81" i="3"/>
  <c r="T82" i="3"/>
  <c r="T90" i="3" s="1"/>
  <c r="T83" i="3"/>
  <c r="T91" i="3" s="1"/>
  <c r="T84" i="3"/>
  <c r="T92" i="3" s="1"/>
  <c r="H30" i="45"/>
  <c r="H29" i="45"/>
  <c r="H28" i="45"/>
  <c r="H27" i="45"/>
  <c r="H26" i="45"/>
  <c r="H21" i="45"/>
  <c r="H20" i="45"/>
  <c r="H19" i="45"/>
  <c r="H18" i="45"/>
  <c r="H17" i="45"/>
  <c r="H16" i="45"/>
  <c r="H15" i="45"/>
  <c r="H14" i="45"/>
  <c r="H13" i="45"/>
  <c r="H12" i="45"/>
  <c r="H11" i="45"/>
  <c r="H10" i="45"/>
  <c r="H9" i="45"/>
  <c r="H8" i="45"/>
  <c r="H7" i="45"/>
  <c r="M30" i="45"/>
  <c r="M29" i="45"/>
  <c r="M28" i="45"/>
  <c r="M27" i="45"/>
  <c r="M26" i="45"/>
  <c r="M21" i="45"/>
  <c r="M20" i="45"/>
  <c r="M19" i="45"/>
  <c r="M18" i="45"/>
  <c r="M17" i="45"/>
  <c r="M16" i="45"/>
  <c r="M15" i="45"/>
  <c r="M14" i="45"/>
  <c r="M13" i="45"/>
  <c r="M12" i="45"/>
  <c r="M11" i="45"/>
  <c r="M10" i="45"/>
  <c r="M9" i="45"/>
  <c r="M8" i="45"/>
  <c r="M7" i="45"/>
  <c r="U57" i="41"/>
  <c r="U29" i="41"/>
  <c r="U74" i="41" s="1"/>
  <c r="H25" i="45" l="1"/>
  <c r="M25" i="45"/>
  <c r="K89" i="3"/>
  <c r="F89" i="3"/>
  <c r="D89" i="3"/>
  <c r="D80" i="3"/>
  <c r="D88" i="3" s="1"/>
  <c r="E89" i="3"/>
  <c r="E80" i="3"/>
  <c r="E88" i="3" s="1"/>
  <c r="T89" i="3"/>
  <c r="T80" i="3"/>
  <c r="T88" i="3" s="1"/>
  <c r="I89" i="3"/>
  <c r="I80" i="3"/>
  <c r="I88" i="3" s="1"/>
  <c r="J89" i="3"/>
  <c r="J80" i="3"/>
  <c r="J88" i="3" s="1"/>
  <c r="Q89" i="3"/>
  <c r="S89" i="3"/>
  <c r="S80" i="3"/>
  <c r="S88" i="3" s="1"/>
  <c r="N89" i="3"/>
  <c r="N80" i="3"/>
  <c r="N88" i="3" s="1"/>
  <c r="O89" i="3"/>
  <c r="O80" i="3"/>
  <c r="O88" i="3" s="1"/>
  <c r="L19" i="3"/>
  <c r="L81" i="3" s="1"/>
  <c r="Q22" i="3"/>
  <c r="Q84" i="3" s="1"/>
  <c r="Q92" i="3" s="1"/>
  <c r="Q21" i="3"/>
  <c r="Q83" i="3" s="1"/>
  <c r="Q91" i="3" s="1"/>
  <c r="P84" i="3"/>
  <c r="P92" i="3" s="1"/>
  <c r="Q20" i="3"/>
  <c r="Q82" i="3" s="1"/>
  <c r="Q90" i="3" s="1"/>
  <c r="R19" i="3"/>
  <c r="R81" i="3" s="1"/>
  <c r="G19" i="3"/>
  <c r="G81" i="3" s="1"/>
  <c r="F82" i="3"/>
  <c r="F90" i="3" s="1"/>
  <c r="K83" i="3"/>
  <c r="K91" i="3" s="1"/>
  <c r="K84" i="3"/>
  <c r="K92" i="3" s="1"/>
  <c r="M22" i="3"/>
  <c r="M84" i="3" s="1"/>
  <c r="M92" i="3" s="1"/>
  <c r="G22" i="3"/>
  <c r="H22" i="3" s="1"/>
  <c r="H84" i="3" s="1"/>
  <c r="H92" i="3" s="1"/>
  <c r="G83" i="3"/>
  <c r="G91" i="3" s="1"/>
  <c r="H21" i="3"/>
  <c r="H83" i="3" s="1"/>
  <c r="H91" i="3" s="1"/>
  <c r="F83" i="3"/>
  <c r="F91" i="3" s="1"/>
  <c r="F18" i="3"/>
  <c r="F32" i="3" s="1"/>
  <c r="H20" i="3"/>
  <c r="H82" i="3" s="1"/>
  <c r="H90" i="3" s="1"/>
  <c r="M21" i="3"/>
  <c r="M83" i="3" s="1"/>
  <c r="M91" i="3" s="1"/>
  <c r="M20" i="3"/>
  <c r="M82" i="3" s="1"/>
  <c r="M90" i="3" s="1"/>
  <c r="K82" i="3"/>
  <c r="K90" i="3" s="1"/>
  <c r="K18" i="3"/>
  <c r="K32" i="3" s="1"/>
  <c r="P18" i="3"/>
  <c r="P32" i="3" s="1"/>
  <c r="P81" i="3"/>
  <c r="U22" i="3"/>
  <c r="U21" i="3"/>
  <c r="U20" i="3"/>
  <c r="X20" i="3" s="1"/>
  <c r="X82" i="3" s="1"/>
  <c r="X90" i="3" s="1"/>
  <c r="U19" i="3"/>
  <c r="X19" i="3" s="1"/>
  <c r="X81" i="3" s="1"/>
  <c r="T18" i="3"/>
  <c r="T32" i="3" s="1"/>
  <c r="X89" i="3" l="1"/>
  <c r="P89" i="3"/>
  <c r="P80" i="3"/>
  <c r="P88" i="3" s="1"/>
  <c r="G89" i="3"/>
  <c r="R89" i="3"/>
  <c r="Q80" i="3"/>
  <c r="Q88" i="3" s="1"/>
  <c r="F80" i="3"/>
  <c r="F88" i="3" s="1"/>
  <c r="K80" i="3"/>
  <c r="K88" i="3" s="1"/>
  <c r="L89" i="3"/>
  <c r="L80" i="3"/>
  <c r="L88" i="3" s="1"/>
  <c r="G84" i="3"/>
  <c r="G92" i="3" s="1"/>
  <c r="U84" i="3"/>
  <c r="U92" i="3" s="1"/>
  <c r="X22" i="3"/>
  <c r="X84" i="3" s="1"/>
  <c r="X92" i="3" s="1"/>
  <c r="U83" i="3"/>
  <c r="U91" i="3" s="1"/>
  <c r="X21" i="3"/>
  <c r="X83" i="3" s="1"/>
  <c r="X91" i="3" s="1"/>
  <c r="M19" i="3"/>
  <c r="M81" i="3" s="1"/>
  <c r="L18" i="3"/>
  <c r="L32" i="3" s="1"/>
  <c r="R21" i="3"/>
  <c r="R83" i="3" s="1"/>
  <c r="R91" i="3" s="1"/>
  <c r="R20" i="3"/>
  <c r="R82" i="3" s="1"/>
  <c r="R90" i="3" s="1"/>
  <c r="R22" i="3"/>
  <c r="R84" i="3" s="1"/>
  <c r="R92" i="3" s="1"/>
  <c r="Q18" i="3"/>
  <c r="Q32" i="3" s="1"/>
  <c r="H19" i="3"/>
  <c r="H81" i="3" s="1"/>
  <c r="G18" i="3"/>
  <c r="G32" i="3" s="1"/>
  <c r="U81" i="3"/>
  <c r="U82" i="3"/>
  <c r="U90" i="3" s="1"/>
  <c r="U18" i="3"/>
  <c r="U32" i="3" s="1"/>
  <c r="G80" i="3" l="1"/>
  <c r="G88" i="3" s="1"/>
  <c r="M89" i="3"/>
  <c r="M80" i="3"/>
  <c r="M88" i="3" s="1"/>
  <c r="X80" i="3"/>
  <c r="R80" i="3"/>
  <c r="R88" i="3" s="1"/>
  <c r="U89" i="3"/>
  <c r="U80" i="3"/>
  <c r="U88" i="3" s="1"/>
  <c r="H89" i="3"/>
  <c r="H80" i="3"/>
  <c r="H88" i="3" s="1"/>
  <c r="M18" i="3"/>
  <c r="M32" i="3" s="1"/>
  <c r="R18" i="3"/>
  <c r="R32" i="3" s="1"/>
  <c r="H18" i="3"/>
  <c r="H32" i="3" s="1"/>
  <c r="V18" i="3"/>
  <c r="V32" i="3" s="1"/>
  <c r="W18" i="3"/>
  <c r="W32" i="3" s="1"/>
  <c r="X18" i="3" l="1"/>
  <c r="X32" i="3" s="1"/>
  <c r="W16" i="45"/>
  <c r="W27" i="45" l="1"/>
  <c r="W28" i="45"/>
  <c r="S25" i="45"/>
  <c r="S31" i="45"/>
  <c r="S32" i="45" l="1"/>
  <c r="S17" i="41"/>
  <c r="R17" i="41"/>
  <c r="Q17" i="41"/>
  <c r="P17" i="41"/>
  <c r="O17" i="41"/>
  <c r="N17" i="41"/>
  <c r="M17" i="41"/>
  <c r="L17" i="41"/>
  <c r="K17" i="41"/>
  <c r="J17" i="41"/>
  <c r="I17" i="41"/>
  <c r="H17" i="41"/>
  <c r="G17" i="41"/>
  <c r="F17" i="41"/>
  <c r="E17" i="41"/>
  <c r="D17" i="41"/>
  <c r="X37" i="3" l="1"/>
  <c r="T78" i="41" l="1"/>
  <c r="H94" i="41" s="1"/>
  <c r="T77" i="41"/>
  <c r="H93" i="41" s="1"/>
  <c r="Q36" i="3"/>
  <c r="R36" i="3"/>
  <c r="S36" i="3"/>
  <c r="T36" i="3"/>
  <c r="U36" i="3"/>
  <c r="T79" i="41" l="1"/>
  <c r="H95" i="41" s="1"/>
  <c r="T76" i="41"/>
  <c r="T59" i="41"/>
  <c r="T45" i="41"/>
  <c r="T31" i="41"/>
  <c r="T7" i="41"/>
  <c r="T82" i="41" l="1"/>
  <c r="H98" i="41" s="1"/>
  <c r="T81" i="41"/>
  <c r="H97" i="41" s="1"/>
  <c r="H92" i="41"/>
  <c r="T29" i="41"/>
  <c r="T57" i="41"/>
  <c r="T72" i="41" s="1"/>
  <c r="T88" i="41" l="1"/>
  <c r="H104" i="41" s="1"/>
  <c r="T86" i="41"/>
  <c r="H102" i="41" s="1"/>
  <c r="T74" i="41"/>
  <c r="Q25" i="45" l="1"/>
  <c r="Q31" i="45"/>
  <c r="V82" i="3" l="1"/>
  <c r="V90" i="3" s="1"/>
  <c r="V83" i="3"/>
  <c r="V91" i="3" s="1"/>
  <c r="V84" i="3"/>
  <c r="V92" i="3" s="1"/>
  <c r="V81" i="3"/>
  <c r="Q32" i="45"/>
  <c r="V12" i="3"/>
  <c r="V27" i="3" s="1"/>
  <c r="V55" i="3"/>
  <c r="V54" i="3"/>
  <c r="V53" i="3"/>
  <c r="S59" i="41"/>
  <c r="S45" i="41"/>
  <c r="S31" i="41"/>
  <c r="S7" i="41"/>
  <c r="V89" i="3" l="1"/>
  <c r="V80" i="3"/>
  <c r="V88" i="3" s="1"/>
  <c r="V36" i="3"/>
  <c r="V60" i="3"/>
  <c r="W82" i="3"/>
  <c r="W90" i="3" s="1"/>
  <c r="W84" i="3"/>
  <c r="W92" i="3" s="1"/>
  <c r="W83" i="3"/>
  <c r="W91" i="3" s="1"/>
  <c r="S57" i="41"/>
  <c r="S72" i="41" s="1"/>
  <c r="S29" i="41"/>
  <c r="V57" i="3"/>
  <c r="S74" i="41" l="1"/>
  <c r="V58" i="3"/>
  <c r="O25" i="45" l="1"/>
  <c r="P25" i="45"/>
  <c r="P32" i="45" s="1"/>
  <c r="R13" i="45"/>
  <c r="R21" i="45"/>
  <c r="R14" i="45"/>
  <c r="R26" i="45"/>
  <c r="R8" i="45"/>
  <c r="R15" i="45"/>
  <c r="R27" i="45"/>
  <c r="R7" i="45"/>
  <c r="R16" i="45"/>
  <c r="R28" i="45"/>
  <c r="R9" i="45"/>
  <c r="R17" i="45"/>
  <c r="R29" i="45"/>
  <c r="R10" i="45"/>
  <c r="R18" i="45"/>
  <c r="R30" i="45"/>
  <c r="R11" i="45"/>
  <c r="R19" i="45"/>
  <c r="R12" i="45"/>
  <c r="R20" i="45"/>
  <c r="O31" i="45"/>
  <c r="R25" i="45" l="1"/>
  <c r="O32" i="45" l="1"/>
  <c r="D31" i="45" l="1"/>
  <c r="E31" i="45"/>
  <c r="F31" i="45"/>
  <c r="G31" i="45"/>
  <c r="I31" i="45"/>
  <c r="J31" i="45"/>
  <c r="K31" i="45"/>
  <c r="L31" i="45"/>
  <c r="N31" i="45"/>
  <c r="R31" i="45" s="1"/>
  <c r="D53" i="3"/>
  <c r="E53" i="3"/>
  <c r="F53" i="3"/>
  <c r="G53" i="3"/>
  <c r="H53" i="3"/>
  <c r="J53" i="3"/>
  <c r="K53" i="3"/>
  <c r="L53" i="3"/>
  <c r="O53" i="3"/>
  <c r="P53" i="3"/>
  <c r="Q53" i="3"/>
  <c r="S53" i="3"/>
  <c r="T53" i="3"/>
  <c r="U53" i="3"/>
  <c r="E54" i="3"/>
  <c r="F54" i="3"/>
  <c r="G54" i="3"/>
  <c r="H54" i="3"/>
  <c r="J54" i="3"/>
  <c r="K54" i="3"/>
  <c r="L54" i="3"/>
  <c r="O54" i="3"/>
  <c r="P54" i="3"/>
  <c r="Q54" i="3"/>
  <c r="T54" i="3"/>
  <c r="U54" i="3"/>
  <c r="F55" i="3"/>
  <c r="G55" i="3"/>
  <c r="H55" i="3"/>
  <c r="J55" i="3"/>
  <c r="K55" i="3"/>
  <c r="L55" i="3"/>
  <c r="O55" i="3"/>
  <c r="P55" i="3"/>
  <c r="Q55" i="3"/>
  <c r="R55" i="3"/>
  <c r="T55" i="3"/>
  <c r="U55" i="3"/>
  <c r="Q45" i="41"/>
  <c r="P45" i="41"/>
  <c r="O45" i="41"/>
  <c r="N45" i="41"/>
  <c r="M45" i="41"/>
  <c r="L45" i="41"/>
  <c r="K45" i="41"/>
  <c r="J45" i="41"/>
  <c r="I45" i="41"/>
  <c r="H45" i="41"/>
  <c r="G45" i="41"/>
  <c r="F45" i="41"/>
  <c r="E45" i="41"/>
  <c r="D45" i="41"/>
  <c r="R45" i="41"/>
  <c r="I53" i="3" l="1"/>
  <c r="H31" i="45"/>
  <c r="M31" i="45"/>
  <c r="K32" i="45"/>
  <c r="F32" i="45"/>
  <c r="I32" i="45"/>
  <c r="D32" i="45"/>
  <c r="J32" i="45"/>
  <c r="G32" i="45"/>
  <c r="E32" i="45"/>
  <c r="L32" i="45"/>
  <c r="N32" i="45"/>
  <c r="O57" i="3"/>
  <c r="F57" i="3"/>
  <c r="Q57" i="3"/>
  <c r="K57" i="3"/>
  <c r="U57" i="3"/>
  <c r="P57" i="3"/>
  <c r="J57" i="3"/>
  <c r="T57" i="3"/>
  <c r="L57" i="3"/>
  <c r="R31" i="41"/>
  <c r="Q31" i="41"/>
  <c r="P31" i="41"/>
  <c r="O31" i="41"/>
  <c r="N31" i="41"/>
  <c r="M31" i="41"/>
  <c r="L31" i="41"/>
  <c r="K31" i="41"/>
  <c r="J31" i="41"/>
  <c r="I31" i="41"/>
  <c r="K7" i="41"/>
  <c r="E59" i="41"/>
  <c r="F59" i="41"/>
  <c r="G59" i="41"/>
  <c r="H59" i="41"/>
  <c r="I59" i="41"/>
  <c r="J59" i="41"/>
  <c r="K59" i="41"/>
  <c r="L59" i="41"/>
  <c r="M59" i="41"/>
  <c r="N59" i="41"/>
  <c r="O59" i="41"/>
  <c r="P59" i="41"/>
  <c r="Q59" i="41"/>
  <c r="R59" i="41"/>
  <c r="D31" i="41"/>
  <c r="E31" i="41"/>
  <c r="F31" i="41"/>
  <c r="D7" i="41"/>
  <c r="E7" i="41"/>
  <c r="F7" i="41"/>
  <c r="L7" i="41"/>
  <c r="M7" i="41"/>
  <c r="N7" i="41"/>
  <c r="O7" i="41"/>
  <c r="P7" i="41"/>
  <c r="Q7" i="41"/>
  <c r="R7" i="41"/>
  <c r="R53" i="3"/>
  <c r="S55" i="3"/>
  <c r="G57" i="3"/>
  <c r="J58" i="3" l="1"/>
  <c r="T58" i="3"/>
  <c r="P58" i="3"/>
  <c r="L58" i="3"/>
  <c r="U58" i="3"/>
  <c r="K58" i="3"/>
  <c r="F58" i="3"/>
  <c r="O58" i="3"/>
  <c r="Q58" i="3"/>
  <c r="H58" i="3"/>
  <c r="G58" i="3"/>
  <c r="H32" i="45"/>
  <c r="R32" i="45"/>
  <c r="M32" i="45"/>
  <c r="R54" i="3"/>
  <c r="R57" i="3" s="1"/>
  <c r="S54" i="3"/>
  <c r="S57" i="3" s="1"/>
  <c r="P83" i="41" s="1"/>
  <c r="M55" i="3"/>
  <c r="N55" i="3"/>
  <c r="M54" i="3"/>
  <c r="M57" i="3" s="1"/>
  <c r="N54" i="3"/>
  <c r="D59" i="41"/>
  <c r="N29" i="41"/>
  <c r="O57" i="41"/>
  <c r="O72" i="41" s="1"/>
  <c r="O74" i="41" s="1"/>
  <c r="E29" i="41"/>
  <c r="F29" i="41"/>
  <c r="M57" i="41"/>
  <c r="M72" i="41" s="1"/>
  <c r="P57" i="41"/>
  <c r="P72" i="41" s="1"/>
  <c r="D57" i="41"/>
  <c r="O29" i="41"/>
  <c r="R29" i="41"/>
  <c r="P29" i="41"/>
  <c r="M29" i="41"/>
  <c r="F57" i="41"/>
  <c r="F72" i="41" s="1"/>
  <c r="N57" i="41"/>
  <c r="N72" i="41" s="1"/>
  <c r="E57" i="41"/>
  <c r="E72" i="41" s="1"/>
  <c r="D29" i="41"/>
  <c r="Q29" i="41"/>
  <c r="K57" i="41"/>
  <c r="K72" i="41" s="1"/>
  <c r="Q57" i="41"/>
  <c r="Q72" i="41" s="1"/>
  <c r="L57" i="41"/>
  <c r="L72" i="41" s="1"/>
  <c r="L29" i="41"/>
  <c r="R57" i="41"/>
  <c r="R72" i="41" s="1"/>
  <c r="R74" i="41" l="1"/>
  <c r="G99" i="41"/>
  <c r="P87" i="41"/>
  <c r="G103" i="41" s="1"/>
  <c r="P85" i="41"/>
  <c r="G101" i="41" s="1"/>
  <c r="F74" i="41"/>
  <c r="Q74" i="41"/>
  <c r="N74" i="41"/>
  <c r="L74" i="41"/>
  <c r="E74" i="41"/>
  <c r="P74" i="41"/>
  <c r="M74" i="41"/>
  <c r="S58" i="3"/>
  <c r="R58" i="3"/>
  <c r="D72" i="41"/>
  <c r="D74" i="41" s="1"/>
  <c r="J7" i="41"/>
  <c r="I7" i="41"/>
  <c r="H7" i="41"/>
  <c r="H29" i="41" s="1"/>
  <c r="G7" i="41"/>
  <c r="G29" i="41" l="1"/>
  <c r="K29" i="41"/>
  <c r="K74" i="41" s="1"/>
  <c r="I29" i="41"/>
  <c r="J29" i="41"/>
  <c r="E55" i="3" l="1"/>
  <c r="D54" i="3"/>
  <c r="D55" i="3"/>
  <c r="D57" i="3" l="1"/>
  <c r="E57" i="3"/>
  <c r="E58" i="3" l="1"/>
  <c r="I57" i="3"/>
  <c r="I58" i="3" s="1"/>
  <c r="D58" i="3"/>
  <c r="D83" i="41"/>
  <c r="D99" i="41" l="1"/>
  <c r="D85" i="41"/>
  <c r="D101" i="41" s="1"/>
  <c r="D87" i="41"/>
  <c r="D103" i="41" s="1"/>
  <c r="G31" i="41"/>
  <c r="H31" i="41"/>
  <c r="G57" i="41" l="1"/>
  <c r="G72" i="41" s="1"/>
  <c r="G74" i="41" s="1"/>
  <c r="H57" i="41"/>
  <c r="H72" i="41" s="1"/>
  <c r="H74" i="41" s="1"/>
  <c r="I57" i="41"/>
  <c r="I72" i="41" s="1"/>
  <c r="I74" i="41" s="1"/>
  <c r="J57" i="41"/>
  <c r="J72" i="41" s="1"/>
  <c r="J74" i="41" s="1"/>
  <c r="W81" i="3" l="1"/>
  <c r="W12" i="3"/>
  <c r="W27" i="3" s="1"/>
  <c r="W89" i="3" l="1"/>
  <c r="W80" i="3"/>
  <c r="W88" i="3" s="1"/>
  <c r="W60" i="3"/>
  <c r="X12" i="3"/>
  <c r="X56" i="3"/>
  <c r="X27" i="3" l="1"/>
  <c r="X60" i="3"/>
  <c r="X88" i="3"/>
  <c r="W55" i="3"/>
  <c r="X55" i="3" s="1"/>
  <c r="W36" i="3"/>
  <c r="X36" i="3" l="1"/>
  <c r="X31" i="3"/>
  <c r="W54" i="3"/>
  <c r="X54" i="3" s="1"/>
  <c r="W53" i="3" l="1"/>
  <c r="W57" i="3" l="1"/>
  <c r="X53" i="3"/>
  <c r="W58" i="3" l="1"/>
  <c r="X57" i="3"/>
  <c r="T83" i="41" l="1"/>
  <c r="X58" i="3"/>
  <c r="H99" i="41" l="1"/>
  <c r="T87" i="41"/>
  <c r="H103" i="41" s="1"/>
  <c r="T85" i="41"/>
  <c r="H101" i="41" s="1"/>
  <c r="W15" i="45"/>
  <c r="W17" i="45"/>
  <c r="W21" i="45"/>
  <c r="W9" i="45"/>
  <c r="W8" i="45"/>
  <c r="W13" i="45"/>
  <c r="W12" i="45"/>
  <c r="W11" i="45"/>
  <c r="W10" i="45"/>
  <c r="W20" i="45"/>
  <c r="W18" i="45"/>
  <c r="W14" i="45"/>
  <c r="W19" i="45"/>
  <c r="T25" i="45" l="1"/>
  <c r="W7" i="45"/>
  <c r="W25" i="45" s="1"/>
  <c r="T31" i="45"/>
  <c r="T32" i="45" s="1"/>
  <c r="N53" i="3" l="1"/>
  <c r="N57" i="3" s="1"/>
  <c r="M58" i="3"/>
  <c r="N58" i="3" l="1"/>
  <c r="L83" i="41"/>
  <c r="F99" i="41" l="1"/>
  <c r="L87" i="41"/>
  <c r="F103" i="41" s="1"/>
  <c r="L85" i="41"/>
  <c r="F101" i="41" s="1"/>
  <c r="V7" i="41" l="1"/>
  <c r="V29" i="41" s="1"/>
  <c r="V74" i="41" s="1"/>
  <c r="W59" i="41" l="1"/>
  <c r="W7" i="41" l="1"/>
  <c r="W45" i="41"/>
  <c r="W17" i="41"/>
  <c r="W31" i="41"/>
  <c r="W29" i="41" l="1"/>
  <c r="W57" i="41"/>
  <c r="W72" i="41" s="1"/>
  <c r="W74" i="41" s="1"/>
  <c r="W26" i="45" l="1"/>
  <c r="V31" i="45" l="1"/>
  <c r="V32" i="45" s="1"/>
  <c r="W32" i="45" s="1"/>
  <c r="W30" i="45"/>
  <c r="W29" i="45"/>
  <c r="W31" i="45" l="1"/>
  <c r="Y7" i="41" l="1"/>
  <c r="Y45" i="41"/>
  <c r="AD83" i="3"/>
  <c r="AD81" i="3"/>
  <c r="AD55" i="3"/>
  <c r="Y31" i="41"/>
  <c r="Y17" i="41"/>
  <c r="Y29" i="41" s="1"/>
  <c r="AD54" i="3"/>
  <c r="Y57" i="41" l="1"/>
  <c r="AD82" i="3"/>
  <c r="Y72" i="41"/>
  <c r="Y74" i="41" s="1"/>
  <c r="AD18" i="3"/>
  <c r="AD91" i="3"/>
  <c r="AD84" i="3"/>
  <c r="AD12" i="3"/>
  <c r="AD90" i="3"/>
  <c r="AD32" i="3" l="1"/>
  <c r="AH18" i="3"/>
  <c r="AD80" i="3"/>
  <c r="AD60" i="3"/>
  <c r="AD36" i="3"/>
  <c r="AD88" i="3"/>
  <c r="AD89" i="3"/>
  <c r="AD92" i="3"/>
  <c r="AD53" i="3" l="1"/>
  <c r="AD57" i="3" l="1"/>
  <c r="AD58" i="3"/>
  <c r="Z83" i="41"/>
  <c r="Z87" i="41" s="1"/>
  <c r="Y83" i="41"/>
  <c r="AA83" i="41" l="1"/>
  <c r="Y87" i="41"/>
  <c r="Y85" i="41"/>
  <c r="Z85" i="41"/>
  <c r="AA85" i="41" l="1"/>
  <c r="AA87" i="41"/>
  <c r="AG104" i="3"/>
  <c r="AG105" i="3"/>
  <c r="AH100" i="3"/>
  <c r="AH105" i="3"/>
  <c r="AG83" i="3"/>
  <c r="AG91" i="3" s="1"/>
  <c r="AG84" i="3"/>
  <c r="AG92" i="3" s="1"/>
  <c r="AB31" i="45" l="1"/>
  <c r="AB77" i="41"/>
  <c r="AA31" i="45"/>
  <c r="AB78" i="41"/>
  <c r="AB7" i="41"/>
  <c r="AB79" i="41"/>
  <c r="AH98" i="3"/>
  <c r="AG98" i="3"/>
  <c r="AG100" i="3"/>
  <c r="AG103" i="3"/>
  <c r="AG102" i="3" s="1"/>
  <c r="AG82" i="3"/>
  <c r="AG90" i="3" s="1"/>
  <c r="AG81" i="3"/>
  <c r="AG99" i="3"/>
  <c r="AH110" i="3"/>
  <c r="AH84" i="3"/>
  <c r="AH92" i="3" s="1"/>
  <c r="AH82" i="3"/>
  <c r="AH90" i="3" s="1"/>
  <c r="AG56" i="3"/>
  <c r="AH83" i="3"/>
  <c r="AH91" i="3" s="1"/>
  <c r="AH104" i="3"/>
  <c r="AB45" i="41" l="1"/>
  <c r="AB17" i="41"/>
  <c r="AB29" i="41" s="1"/>
  <c r="AB80" i="41"/>
  <c r="AB31" i="41"/>
  <c r="AB76" i="41"/>
  <c r="AH108" i="3"/>
  <c r="AH103" i="3"/>
  <c r="AH102" i="3" s="1"/>
  <c r="AH89" i="3"/>
  <c r="AH80" i="3"/>
  <c r="AH99" i="3"/>
  <c r="AH97" i="3" s="1"/>
  <c r="AG12" i="3"/>
  <c r="AG97" i="3"/>
  <c r="AG89" i="3"/>
  <c r="AG80" i="3"/>
  <c r="AG55" i="3"/>
  <c r="AG54" i="3"/>
  <c r="AH109" i="3"/>
  <c r="AB57" i="41" l="1"/>
  <c r="AB82" i="41"/>
  <c r="AB81" i="41"/>
  <c r="AG60" i="3"/>
  <c r="AH12" i="3"/>
  <c r="AH88" i="3" s="1"/>
  <c r="AG88" i="3"/>
  <c r="AH107" i="3"/>
  <c r="AB86" i="41" l="1"/>
  <c r="AB88" i="41"/>
  <c r="AH60" i="3"/>
  <c r="AH58" i="3"/>
  <c r="AG53" i="3" l="1"/>
  <c r="AG57" i="3" s="1"/>
  <c r="AB83" i="41" s="1"/>
  <c r="AG58" i="3" l="1"/>
  <c r="AB85" i="41" l="1"/>
  <c r="AB87" i="41"/>
  <c r="AB59" i="41" l="1"/>
  <c r="AB72" i="41" s="1"/>
  <c r="AB74" i="4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8E33D8C-A10E-40DE-9BAB-A20E9E1E075D}" keepAlive="1" name="Consulta - Table003 (Page 9)" description="Conexão com a consulta 'Table003 (Page 9)' na pasta de trabalho." type="5" refreshedVersion="0" background="1">
    <dbPr connection="Provider=Microsoft.Mashup.OleDb.1;Data Source=$Workbook$;Location=&quot;Table003 (Page 9)&quot;;Extended Properties=&quot;&quot;" command="SELECT * FROM [Table003 (Page 9)]"/>
  </connection>
  <connection id="2" xr16:uid="{645D8C61-18BA-44E4-959D-B94B166EF51D}" keepAlive="1" name="Consulta - Table004 (Page 10)" description="Conexão com a consulta 'Table004 (Page 10)' na pasta de trabalho." type="5" refreshedVersion="0" background="1">
    <dbPr connection="Provider=Microsoft.Mashup.OleDb.1;Data Source=$Workbook$;Location=&quot;Table004 (Page 10)&quot;;Extended Properties=&quot;&quot;" command="SELECT * FROM [Table004 (Page 10)]"/>
  </connection>
  <connection id="3" xr16:uid="{A16B8379-7E0E-46A2-9733-E05785367EBD}" keepAlive="1" name="Consulta - Table004 (Page 10) (2)" description="Conexão com a consulta 'Table004 (Page 10) (2)' na pasta de trabalho." type="5" refreshedVersion="0" background="1">
    <dbPr connection="Provider=Microsoft.Mashup.OleDb.1;Data Source=$Workbook$;Location=&quot;Table004 (Page 10) (2)&quot;;Extended Properties=&quot;&quot;" command="SELECT * FROM [Table004 (Page 10) (2)]"/>
  </connection>
  <connection id="4" xr16:uid="{CB2FD151-2FA7-4483-AF55-16BA49FB17AF}" keepAlive="1" name="Consulta - Table004 (Page 8)" description="Conexão com a consulta 'Table004 (Page 8)' na pasta de trabalho." type="5" refreshedVersion="8" background="1" saveData="1">
    <dbPr connection="Provider=Microsoft.Mashup.OleDb.1;Data Source=$Workbook$;Location=&quot;Table004 (Page 8)&quot;;Extended Properties=&quot;&quot;" command="SELECT * FROM [Table004 (Page 8)]"/>
  </connection>
  <connection id="5" xr16:uid="{5C54DD77-EC1C-4173-87D9-FF281E81C696}" keepAlive="1" name="Consulta - Table004 (Page 9)" description="Conexão com a consulta 'Table004 (Page 9)' na pasta de trabalho." type="5" refreshedVersion="8" background="1" saveData="1">
    <dbPr connection="Provider=Microsoft.Mashup.OleDb.1;Data Source=$Workbook$;Location=&quot;Table004 (Page 9)&quot;;Extended Properties=&quot;&quot;" command="SELECT * FROM [Table004 (Page 9)]"/>
  </connection>
  <connection id="6" xr16:uid="{9F85832B-597D-491E-8431-7C2CE49B572D}" keepAlive="1" name="Consulta - Table005 (Page 10)" description="Conexão com a consulta 'Table005 (Page 10)' na pasta de trabalho." type="5" refreshedVersion="8" background="1" saveData="1">
    <dbPr connection="Provider=Microsoft.Mashup.OleDb.1;Data Source=$Workbook$;Location=&quot;Table005 (Page 10)&quot;;Extended Properties=&quot;&quot;" command="SELECT * FROM [Table005 (Page 10)]"/>
  </connection>
  <connection id="7" xr16:uid="{3E3CD1F8-4BBE-4D19-A58C-9EDA309B378C}" keepAlive="1" name="Consulta - Table005 (Page 11)" description="Conexão com a consulta 'Table005 (Page 11)' na pasta de trabalho." type="5" refreshedVersion="0" background="1">
    <dbPr connection="Provider=Microsoft.Mashup.OleDb.1;Data Source=$Workbook$;Location=&quot;Table005 (Page 11)&quot;;Extended Properties=&quot;&quot;" command="SELECT * FROM [Table005 (Page 11)]"/>
  </connection>
  <connection id="8" xr16:uid="{9384FE1E-85E0-425A-8415-633698F1B3BF}" keepAlive="1" name="Consulta - Table005 (Page 9)" description="Conexão com a consulta 'Table005 (Page 9)' na pasta de trabalho." type="5" refreshedVersion="0" background="1">
    <dbPr connection="Provider=Microsoft.Mashup.OleDb.1;Data Source=$Workbook$;Location=&quot;Table005 (Page 9)&quot;;Extended Properties=&quot;&quot;" command="SELECT * FROM [Table005 (Page 9)]"/>
  </connection>
  <connection id="9" xr16:uid="{593ED5BA-B9BA-457D-82DD-CCB6467BF40E}" keepAlive="1" name="Consulta - Table005 (Page 9) (2)" description="Conexão com a consulta 'Table005 (Page 9) (2)' na pasta de trabalho." type="5" refreshedVersion="8" background="1" saveData="1">
    <dbPr connection="Provider=Microsoft.Mashup.OleDb.1;Data Source=$Workbook$;Location=&quot;Table005 (Page 9) (2)&quot;;Extended Properties=&quot;&quot;" command="SELECT * FROM [Table005 (Page 9) (2)]"/>
  </connection>
  <connection id="10" xr16:uid="{B0DDC311-4DFF-4779-B74C-5B260A664F19}" keepAlive="1" name="Consulta - Table006 (Page 10)" description="Conexão com a consulta 'Table006 (Page 10)' na pasta de trabalho." type="5" refreshedVersion="0" background="1">
    <dbPr connection="Provider=Microsoft.Mashup.OleDb.1;Data Source=$Workbook$;Location=&quot;Table006 (Page 10)&quot;;Extended Properties=&quot;&quot;" command="SELECT * FROM [Table006 (Page 10)]"/>
  </connection>
  <connection id="11" xr16:uid="{57396334-A4B0-471E-976C-2FD8E01980D4}" keepAlive="1" name="Consulta - Table012 (Page 22)" description="Conexão com a consulta 'Table012 (Page 22)' na pasta de trabalho." type="5" refreshedVersion="0" background="1" saveData="1">
    <dbPr connection="Provider=Microsoft.Mashup.OleDb.1;Data Source=$Workbook$;Location=&quot;Table012 (Page 22)&quot;;Extended Properties=&quot;&quot;" command="SELECT * FROM [Table012 (Page 22)]"/>
  </connection>
  <connection id="12" xr16:uid="{6863E418-A5A3-425C-9AF1-C55E791A86B2}" keepAlive="1" name="Consulta - Table013 (Page 17)" description="Conexão com a consulta 'Table013 (Page 17)' na pasta de trabalho." type="5" refreshedVersion="0" background="1">
    <dbPr connection="Provider=Microsoft.Mashup.OleDb.1;Data Source=$Workbook$;Location=&quot;Table013 (Page 17)&quot;;Extended Properties=&quot;&quot;" command="SELECT * FROM [Table013 (Page 17)]"/>
  </connection>
  <connection id="13" xr16:uid="{88CD6FDB-1155-41AD-9C8C-078F7A935ED4}" keepAlive="1" name="Consulta - Table013 (Page 17) (2)" description="Conexão com a consulta 'Table013 (Page 17) (2)' na pasta de trabalho." type="5" refreshedVersion="0" background="1" saveData="1">
    <dbPr connection="Provider=Microsoft.Mashup.OleDb.1;Data Source=$Workbook$;Location=&quot;Table013 (Page 17) (2)&quot;;Extended Properties=&quot;&quot;" command="SELECT * FROM [Table013 (Page 17) (2)]"/>
  </connection>
  <connection id="14" xr16:uid="{E949667C-E013-446F-80DF-953EB18B1C4C}" keepAlive="1" name="Consulta - Table013 (Page 17) (3)" description="Conexão com a consulta 'Table013 (Page 17) (3)' na pasta de trabalho." type="5" refreshedVersion="8" background="1" saveData="1">
    <dbPr connection="Provider=Microsoft.Mashup.OleDb.1;Data Source=$Workbook$;Location=&quot;Table013 (Page 17) (3)&quot;;Extended Properties=&quot;&quot;" command="SELECT * FROM [Table013 (Page 17) (3)]"/>
  </connection>
  <connection id="15" xr16:uid="{1A8E67DD-DABA-4813-B554-F9DC8D21952E}" keepAlive="1" name="Consulta - Table013 (Page 23)" description="Conexão com a consulta 'Table013 (Page 23)' na pasta de trabalho." type="5" refreshedVersion="0" background="1" saveData="1">
    <dbPr connection="Provider=Microsoft.Mashup.OleDb.1;Data Source=$Workbook$;Location=&quot;Table013 (Page 23)&quot;;Extended Properties=&quot;&quot;" command="SELECT * FROM [Table013 (Page 23)]"/>
  </connection>
  <connection id="16" xr16:uid="{7C82E983-9F12-4D85-8393-CF97CA3F1EA9}" keepAlive="1" name="Consulta - Table014 (Page 14)" description="Conexão com a consulta 'Table014 (Page 14)' na pasta de trabalho." type="5" refreshedVersion="0" background="1">
    <dbPr connection="Provider=Microsoft.Mashup.OleDb.1;Data Source=$Workbook$;Location=&quot;Table014 (Page 14)&quot;;Extended Properties=&quot;&quot;" command="SELECT * FROM [Table014 (Page 14)]"/>
  </connection>
  <connection id="17" xr16:uid="{A020CCE9-A755-4098-957F-C55CC3146E57}" keepAlive="1" name="Consulta - Table014 (Page 14) (2)" description="Conexão com a consulta 'Table014 (Page 14) (2)' na pasta de trabalho." type="5" refreshedVersion="8" background="1" saveData="1">
    <dbPr connection="Provider=Microsoft.Mashup.OleDb.1;Data Source=$Workbook$;Location=&quot;Table014 (Page 14) (2)&quot;;Extended Properties=&quot;&quot;" command="SELECT * FROM [Table014 (Page 14) (2)]"/>
  </connection>
  <connection id="18" xr16:uid="{3ED0BE2A-37C8-44CD-AA08-7F14E39227D9}" keepAlive="1" name="Consulta - Table015 (Page 14)" description="Conexão com a consulta 'Table015 (Page 14)' na pasta de trabalho." type="5" refreshedVersion="0" background="1">
    <dbPr connection="Provider=Microsoft.Mashup.OleDb.1;Data Source=$Workbook$;Location=&quot;Table015 (Page 14)&quot;;Extended Properties=&quot;&quot;" command="SELECT * FROM [Table015 (Page 14)]"/>
  </connection>
  <connection id="19" xr16:uid="{2A7282AA-9CEA-4634-9B04-2CAB7D900E36}" keepAlive="1" name="Consulta - Table015 (Page 14) (2)" description="Conexão com a consulta 'Table015 (Page 14) (2)' na pasta de trabalho." type="5" refreshedVersion="8" background="1" saveData="1">
    <dbPr connection="Provider=Microsoft.Mashup.OleDb.1;Data Source=$Workbook$;Location=&quot;Table015 (Page 14) (2)&quot;;Extended Properties=&quot;&quot;" command="SELECT * FROM [Table015 (Page 14) (2)]"/>
  </connection>
  <connection id="20" xr16:uid="{935164FC-6EF0-4152-A355-A8AF296A543B}" keepAlive="1" name="Consulta - Table015 (Page 14) (3)" description="Conexão com a consulta 'Table015 (Page 14) (3)' na pasta de trabalho." type="5" refreshedVersion="8" background="1" saveData="1">
    <dbPr connection="Provider=Microsoft.Mashup.OleDb.1;Data Source=$Workbook$;Location=&quot;Table015 (Page 14) (3)&quot;;Extended Properties=&quot;&quot;" command="SELECT * FROM [Table015 (Page 14) (3)]"/>
  </connection>
  <connection id="21" xr16:uid="{1AEDAB03-A790-4130-B77D-8FC45AE4224B}" keepAlive="1" name="Consulta - Table016 (Page 14)" description="Conexão com a consulta 'Table016 (Page 14)' na pasta de trabalho." type="5" refreshedVersion="0" background="1">
    <dbPr connection="Provider=Microsoft.Mashup.OleDb.1;Data Source=$Workbook$;Location=&quot;Table016 (Page 14)&quot;;Extended Properties=&quot;&quot;" command="SELECT * FROM [Table016 (Page 14)]"/>
  </connection>
  <connection id="22" xr16:uid="{6818D80A-8FB1-4D79-B30C-B49C80311FF0}" keepAlive="1" name="Consulta - Table016 (Page 14) (2)" description="Conexão com a consulta 'Table016 (Page 14) (2)' na pasta de trabalho." type="5" refreshedVersion="8" background="1" saveData="1">
    <dbPr connection="Provider=Microsoft.Mashup.OleDb.1;Data Source=$Workbook$;Location=&quot;Table016 (Page 14) (2)&quot;;Extended Properties=&quot;&quot;" command="SELECT * FROM [Table016 (Page 14) (2)]"/>
  </connection>
  <connection id="23" xr16:uid="{5BDD7330-653A-47C5-8294-4EBAE065C081}" keepAlive="1" name="Consulta - Table016 (Page 15)" description="Conexão com a consulta 'Table016 (Page 15)' na pasta de trabalho." type="5" refreshedVersion="0" background="1">
    <dbPr connection="Provider=Microsoft.Mashup.OleDb.1;Data Source=$Workbook$;Location=&quot;Table016 (Page 15)&quot;;Extended Properties=&quot;&quot;" command="SELECT * FROM [Table016 (Page 15)]"/>
  </connection>
  <connection id="24" xr16:uid="{9DA70D10-18D3-4BBE-B8DE-58557EED9125}" keepAlive="1" name="Consulta - Table016 (Page 15) (2)" description="Conexão com a consulta 'Table016 (Page 15) (2)' na pasta de trabalho." type="5" refreshedVersion="8" background="1" saveData="1">
    <dbPr connection="Provider=Microsoft.Mashup.OleDb.1;Data Source=$Workbook$;Location=&quot;Table016 (Page 15) (2)&quot;;Extended Properties=&quot;&quot;" command="SELECT * FROM [Table016 (Page 15) (2)]"/>
  </connection>
  <connection id="25" xr16:uid="{093CA1E3-0438-44CD-BCA5-417D209DF19B}" keepAlive="1" name="Consulta - Table017 (Page 11)" description="Conexão com a consulta 'Table017 (Page 11)' na pasta de trabalho." type="5" refreshedVersion="8" background="1" saveData="1">
    <dbPr connection="Provider=Microsoft.Mashup.OleDb.1;Data Source=$Workbook$;Location=&quot;Table017 (Page 11)&quot;;Extended Properties=&quot;&quot;" command="SELECT * FROM [Table017 (Page 11)]"/>
  </connection>
  <connection id="26" xr16:uid="{0EC1501D-8BEC-49F2-BB40-116FADBA6A8F}" keepAlive="1" name="Consulta - Table017 (Page 11) (2)" description="Conexão com a consulta 'Table017 (Page 11) (2)' na pasta de trabalho." type="5" refreshedVersion="8" background="1" saveData="1">
    <dbPr connection="Provider=Microsoft.Mashup.OleDb.1;Data Source=$Workbook$;Location=&quot;Table017 (Page 11) (2)&quot;;Extended Properties=&quot;&quot;" command="SELECT * FROM [Table017 (Page 11) (2)]"/>
  </connection>
  <connection id="27" xr16:uid="{EBA64CCF-65E7-4C3D-86E4-AE717E403DAA}" keepAlive="1" name="Consulta - Table017 (Page 11) (3)" description="Conexão com a consulta 'Table017 (Page 11) (3)' na pasta de trabalho." type="5" refreshedVersion="8" background="1" saveData="1">
    <dbPr connection="Provider=Microsoft.Mashup.OleDb.1;Data Source=$Workbook$;Location=&quot;Table017 (Page 11) (3)&quot;;Extended Properties=&quot;&quot;" command="SELECT * FROM [Table017 (Page 11) (3)]"/>
  </connection>
  <connection id="28" xr16:uid="{BAF2E774-A296-44A5-B97E-D0A67CE05FA8}" keepAlive="1" name="Consulta - Table017 (Page 11) (4)" description="Conexão com a consulta 'Table017 (Page 11) (4)' na pasta de trabalho." type="5" refreshedVersion="0" background="1">
    <dbPr connection="Provider=Microsoft.Mashup.OleDb.1;Data Source=$Workbook$;Location=&quot;Table017 (Page 11) (4)&quot;;Extended Properties=&quot;&quot;" command="SELECT * FROM [Table017 (Page 11) (4)]"/>
  </connection>
  <connection id="29" xr16:uid="{0FA2FF8A-FCFB-4BD0-A5EF-940AEFE0684F}" name="Consulta - Table017 (Page 11) (5)" description="Conexão com a consulta 'Table017 (Page 11) (5)' na pasta de trabalho." type="100" refreshedVersion="8" minRefreshableVersion="5">
    <extLst>
      <ext xmlns:x15="http://schemas.microsoft.com/office/spreadsheetml/2010/11/main" uri="{DE250136-89BD-433C-8126-D09CA5730AF9}">
        <x15:connection id="b4efae42-7944-4a8c-b378-e8fcb02c3f0b"/>
      </ext>
    </extLst>
  </connection>
  <connection id="30" xr16:uid="{98D43204-1AB1-4B8F-9607-9BB5394C98B9}" keepAlive="1" name="Consulta - Table017 (Page 11) (6)" description="Conexão com a consulta 'Table017 (Page 11) (6)' na pasta de trabalho." type="5" refreshedVersion="8" background="1" saveData="1">
    <dbPr connection="Provider=Microsoft.Mashup.OleDb.1;Data Source=$Workbook$;Location=&quot;Table017 (Page 11) (6)&quot;;Extended Properties=&quot;&quot;" command="SELECT * FROM [Table017 (Page 11) (6)]"/>
  </connection>
  <connection id="31" xr16:uid="{9C75EAEC-5174-4EE8-B987-C55A0EE79A7B}" keepAlive="1" name="Consulta - Table017 (Page 11) (7)" description="Conexão com a consulta 'Table017 (Page 11) (7)' na pasta de trabalho." type="5" refreshedVersion="8" background="1" saveData="1">
    <dbPr connection="Provider=Microsoft.Mashup.OleDb.1;Data Source=$Workbook$;Location=&quot;Table017 (Page 11) (7)&quot;;Extended Properties=&quot;&quot;" command="SELECT * FROM [Table017 (Page 11) (7)]"/>
  </connection>
  <connection id="32" xr16:uid="{5880EB20-A94E-4993-B4BD-3C78EF432353}" keepAlive="1" name="Consulta - Table017 (Page 11) (8)" description="Conexão com a consulta 'Table017 (Page 11) (8)' na pasta de trabalho." type="5" refreshedVersion="8" background="1" saveData="1">
    <dbPr connection="Provider=Microsoft.Mashup.OleDb.1;Data Source=$Workbook$;Location=&quot;Table017 (Page 11) (8)&quot;;Extended Properties=&quot;&quot;" command="SELECT * FROM [Table017 (Page 11) (8)]"/>
  </connection>
  <connection id="33" xr16:uid="{C375EE7E-F4D9-4BCE-8F24-8F7BAD427199}" keepAlive="1" name="Consulta - Table017 (Page 11) (9)" description="Conexão com a consulta 'Table017 (Page 11) (9)' na pasta de trabalho." type="5" refreshedVersion="0" background="1" saveData="1">
    <dbPr connection="Provider=Microsoft.Mashup.OleDb.1;Data Source=$Workbook$;Location=&quot;Table017 (Page 11) (9)&quot;;Extended Properties=&quot;&quot;" command="SELECT * FROM [Table017 (Page 11) (9)]"/>
  </connection>
  <connection id="34" xr16:uid="{E7A886EB-8DA3-43F5-B936-3CFF9B4524AF}" keepAlive="1" name="Consulta - Table017 (Page 15)" description="Conexão com a consulta 'Table017 (Page 15)' na pasta de trabalho." type="5" refreshedVersion="0" background="1">
    <dbPr connection="Provider=Microsoft.Mashup.OleDb.1;Data Source=$Workbook$;Location=&quot;Table017 (Page 15)&quot;;Extended Properties=&quot;&quot;" command="SELECT * FROM [Table017 (Page 15)]"/>
  </connection>
  <connection id="35" xr16:uid="{0D6635B3-4705-4D97-AF70-1E3D449D4DC4}" keepAlive="1" name="Consulta - Table017 (Page 15) (2)" description="Conexão com a consulta 'Table017 (Page 15) (2)' na pasta de trabalho." type="5" refreshedVersion="8" background="1" saveData="1">
    <dbPr connection="Provider=Microsoft.Mashup.OleDb.1;Data Source=$Workbook$;Location=&quot;Table017 (Page 15) (2)&quot;;Extended Properties=&quot;&quot;" command="SELECT * FROM [Table017 (Page 15) (2)]"/>
  </connection>
  <connection id="36" xr16:uid="{03D00CF8-4F2D-465E-ABCA-2B50DD7DB083}" keepAlive="1" name="Consulta - Table017 (Page 15) (3)" description="Conexão com a consulta 'Table017 (Page 15) (3)' na pasta de trabalho." type="5" refreshedVersion="8" background="1" saveData="1">
    <dbPr connection="Provider=Microsoft.Mashup.OleDb.1;Data Source=$Workbook$;Location=&quot;Table017 (Page 15) (3)&quot;;Extended Properties=&quot;&quot;" command="SELECT * FROM [Table017 (Page 15) (3)]"/>
  </connection>
  <connection id="37" xr16:uid="{8B6D5D07-AA99-457C-9D39-6A1D42E06151}" keepAlive="1" name="Consulta - Table017 (Page 16)" description="Conexão com a consulta 'Table017 (Page 16)' na pasta de trabalho." type="5" refreshedVersion="0" background="1">
    <dbPr connection="Provider=Microsoft.Mashup.OleDb.1;Data Source=$Workbook$;Location=&quot;Table017 (Page 16)&quot;;Extended Properties=&quot;&quot;" command="SELECT * FROM [Table017 (Page 16)]"/>
  </connection>
  <connection id="38" xr16:uid="{2E9C400D-92DF-4381-959F-826ABF5C8647}" keepAlive="1" name="Consulta - Table017 (Page 16) (2)" description="Conexão com a consulta 'Table017 (Page 16) (2)' na pasta de trabalho." type="5" refreshedVersion="8" background="1" saveData="1">
    <dbPr connection="Provider=Microsoft.Mashup.OleDb.1;Data Source=$Workbook$;Location=&quot;Table017 (Page 16) (2)&quot;;Extended Properties=&quot;&quot;" command="SELECT * FROM [Table017 (Page 16) (2)]"/>
  </connection>
  <connection id="39" xr16:uid="{6A2ED690-BE7D-425C-83AF-EFCA2762FA03}" keepAlive="1" name="Consulta - Table018 (Page 12)" description="Conexão com a consulta 'Table018 (Page 12)' na pasta de trabalho." type="5" refreshedVersion="8" background="1" saveData="1">
    <dbPr connection="Provider=Microsoft.Mashup.OleDb.1;Data Source=$Workbook$;Location=&quot;Table018 (Page 12)&quot;;Extended Properties=&quot;&quot;" command="SELECT * FROM [Table018 (Page 12)]"/>
  </connection>
  <connection id="40" xr16:uid="{EC710A26-15EE-4140-BC99-A2C24F78B72A}" keepAlive="1" name="Consulta - Table018 (Page 12) (2)" description="Conexão com a consulta 'Table018 (Page 12) (2)' na pasta de trabalho." type="5" refreshedVersion="8" background="1" saveData="1">
    <dbPr connection="Provider=Microsoft.Mashup.OleDb.1;Data Source=$Workbook$;Location=&quot;Table018 (Page 12) (2)&quot;;Extended Properties=&quot;&quot;" command="SELECT * FROM [Table018 (Page 12) (2)]"/>
  </connection>
  <connection id="41" xr16:uid="{2ED67261-782E-4DBE-BE44-1670E9E6347C}" keepAlive="1" name="Consulta - Table018 (Page 12) (3)" description="Conexão com a consulta 'Table018 (Page 12) (3)' na pasta de trabalho." type="5" refreshedVersion="8" background="1" saveData="1">
    <dbPr connection="Provider=Microsoft.Mashup.OleDb.1;Data Source=$Workbook$;Location=&quot;Table018 (Page 12) (3)&quot;;Extended Properties=&quot;&quot;" command="SELECT * FROM [Table018 (Page 12) (3)]"/>
  </connection>
  <connection id="42" xr16:uid="{AE3B75B2-01BB-44E3-B67A-62DD635386A1}" odcFile="C:\Users\ggtrombini\Downloads\Consulta - Table018 (Page 12) (4).odc" name="Consulta - Table018 (Page 12) (4)" description="Conexão com a consulta 'Table018 (Page 12) (4)' na pasta de trabalho." type="100" refreshedVersion="8" minRefreshableVersion="5">
    <extLst>
      <ext xmlns:x15="http://schemas.microsoft.com/office/spreadsheetml/2010/11/main" uri="{DE250136-89BD-433C-8126-D09CA5730AF9}">
        <x15:connection id="58494649-09a9-4cc8-8f43-8519c04189ea"/>
      </ext>
    </extLst>
  </connection>
  <connection id="43" xr16:uid="{8EDF301A-B5A5-4BCE-987B-1758DD723188}" keepAlive="1" name="Consulta - Table018 (Page 12) (5)" description="Conexão com a consulta 'Table018 (Page 12) (5)' na pasta de trabalho." type="5" refreshedVersion="8" background="1" saveData="1">
    <dbPr connection="Provider=Microsoft.Mashup.OleDb.1;Data Source=$Workbook$;Location=&quot;Table018 (Page 12) (5)&quot;;Extended Properties=&quot;&quot;" command="SELECT * FROM [Table018 (Page 12) (5)]"/>
  </connection>
  <connection id="44" xr16:uid="{F77E6E5C-8266-4BB0-AF2E-412A7663EECD}" keepAlive="1" name="Consulta - Table018 (Page 12) (6)" description="Conexão com a consulta 'Table018 (Page 12) (6)' na pasta de trabalho." type="5" refreshedVersion="8" background="1" saveData="1">
    <dbPr connection="Provider=Microsoft.Mashup.OleDb.1;Data Source=$Workbook$;Location=&quot;Table018 (Page 12) (6)&quot;;Extended Properties=&quot;&quot;" command="SELECT * FROM [Table018 (Page 12) (6)]"/>
  </connection>
  <connection id="45" xr16:uid="{C2B8D71C-A3EC-4267-927A-E38BADD8DE06}" keepAlive="1" name="Consulta - Table018 (Page 12) (7)" description="Conexão com a consulta 'Table018 (Page 12) (7)' na pasta de trabalho." type="5" refreshedVersion="8" background="1" saveData="1">
    <dbPr connection="Provider=Microsoft.Mashup.OleDb.1;Data Source=$Workbook$;Location=&quot;Table018 (Page 12) (7)&quot;;Extended Properties=&quot;&quot;" command="SELECT * FROM [Table018 (Page 12) (7)]"/>
  </connection>
  <connection id="46" xr16:uid="{7B321BD9-0F17-46DC-91FB-8F26ED05E2BB}" keepAlive="1" name="Consulta - Table018 (Page 12) (8)" description="Conexão com a consulta 'Table018 (Page 12) (8)' na pasta de trabalho." type="5" refreshedVersion="0" background="1" saveData="1">
    <dbPr connection="Provider=Microsoft.Mashup.OleDb.1;Data Source=$Workbook$;Location=&quot;Table018 (Page 12) (8)&quot;;Extended Properties=&quot;&quot;" command="SELECT * FROM [Table018 (Page 12) (8)]"/>
  </connection>
  <connection id="47" xr16:uid="{357BBEDB-BABB-469D-835D-9F325327FDC0}" keepAlive="1" name="Consulta - Table018 (Page 12-13)" description="Conexão com a consulta 'Table018 (Page 12-13)' na pasta de trabalho." type="5" refreshedVersion="0" background="1">
    <dbPr connection="Provider=Microsoft.Mashup.OleDb.1;Data Source=$Workbook$;Location=&quot;Table018 (Page 12-13)&quot;;Extended Properties=&quot;&quot;" command="SELECT * FROM [Table018 (Page 12-13)]"/>
  </connection>
  <connection id="48" xr16:uid="{8F5E9715-617D-460E-8B09-1603C5A5ADEE}" keepAlive="1" name="Consulta - Table018 (Page 16)" description="Conexão com a consulta 'Table018 (Page 16)' na pasta de trabalho." type="5" refreshedVersion="0" background="1">
    <dbPr connection="Provider=Microsoft.Mashup.OleDb.1;Data Source=$Workbook$;Location=&quot;Table018 (Page 16)&quot;;Extended Properties=&quot;&quot;" command="SELECT * FROM [Table018 (Page 16)]"/>
  </connection>
  <connection id="49" xr16:uid="{58E37C70-148F-4589-8DD9-E06F5C43E822}" keepAlive="1" name="Consulta - Table018 (Page 16) (2)" description="Conexão com a consulta 'Table018 (Page 16) (2)' na pasta de trabalho." type="5" refreshedVersion="8" background="1" saveData="1">
    <dbPr connection="Provider=Microsoft.Mashup.OleDb.1;Data Source=$Workbook$;Location=&quot;Table018 (Page 16) (2)&quot;;Extended Properties=&quot;&quot;" command="SELECT * FROM [Table018 (Page 16) (2)]"/>
  </connection>
  <connection id="50" xr16:uid="{8D0DC656-A2F1-42D0-88CF-39E89451FD6C}" keepAlive="1" name="Consulta - Table018 (Page 16) (3)" description="Conexão com a consulta 'Table018 (Page 16) (3)' na pasta de trabalho." type="5" refreshedVersion="8" background="1" saveData="1">
    <dbPr connection="Provider=Microsoft.Mashup.OleDb.1;Data Source=$Workbook$;Location=&quot;Table018 (Page 16) (3)&quot;;Extended Properties=&quot;&quot;" command="SELECT * FROM [Table018 (Page 16) (3)]"/>
  </connection>
  <connection id="51" xr16:uid="{40BDDDEA-1154-4DEC-A4DC-8B67080FEF07}" keepAlive="1" name="Consulta - Table018 (Page 22)" description="Conexão com a consulta 'Table018 (Page 22)' na pasta de trabalho." type="5" refreshedVersion="0" background="1">
    <dbPr connection="Provider=Microsoft.Mashup.OleDb.1;Data Source=$Workbook$;Location=&quot;Table018 (Page 22)&quot;;Extended Properties=&quot;&quot;" command="SELECT * FROM [Table018 (Page 22)]"/>
  </connection>
  <connection id="52" xr16:uid="{BD07F943-7CE6-4A45-AD48-8C55C438FA66}" keepAlive="1" name="Consulta - Table018 (Page 22) (2)" description="Conexão com a consulta 'Table018 (Page 22) (2)' na pasta de trabalho." type="5" refreshedVersion="8" background="1" saveData="1">
    <dbPr connection="Provider=Microsoft.Mashup.OleDb.1;Data Source=$Workbook$;Location=&quot;Table018 (Page 22) (2)&quot;;Extended Properties=&quot;&quot;" command="SELECT * FROM [Table018 (Page 22) (2)]"/>
  </connection>
  <connection id="53" xr16:uid="{057F7CDB-9985-45C2-B47C-6DEEF03FFF8A}" keepAlive="1" name="Consulta - Table021 (Page 15)" description="Conexão com a consulta 'Table021 (Page 15)' na pasta de trabalho." type="5" refreshedVersion="0" background="1">
    <dbPr connection="Provider=Microsoft.Mashup.OleDb.1;Data Source=$Workbook$;Location=&quot;Table021 (Page 15)&quot;;Extended Properties=&quot;&quot;" command="SELECT * FROM [Table021 (Page 15)]"/>
  </connection>
  <connection id="54" xr16:uid="{D0D919A8-1E46-4892-AE87-FD17BC8BA922}" keepAlive="1" name="Consulta - Table021 (Page 15-16)" description="Conexão com a consulta 'Table021 (Page 15-16)' na pasta de trabalho." type="5" refreshedVersion="0" background="1">
    <dbPr connection="Provider=Microsoft.Mashup.OleDb.1;Data Source=$Workbook$;Location=&quot;Table021 (Page 15-16)&quot;;Extended Properties=&quot;&quot;" command="SELECT * FROM [Table021 (Page 15-16)]"/>
  </connection>
  <connection id="55" xr16:uid="{32A28896-89C3-42A6-A0A5-2848343BECA3}" keepAlive="1" name="Consulta - Table021 (Page 15-16) (2)" description="Conexão com a consulta 'Table021 (Page 15-16) (2)' na pasta de trabalho." type="5" refreshedVersion="0" background="1">
    <dbPr connection="Provider=Microsoft.Mashup.OleDb.1;Data Source=$Workbook$;Location=&quot;Table021 (Page 15-16) (2)&quot;;Extended Properties=&quot;&quot;" command="SELECT * FROM [Table021 (Page 15-16) (2)]"/>
  </connection>
  <connection id="56" xr16:uid="{6115567B-7A5A-475A-AA33-13B9811CD6CA}" keepAlive="1" name="Consulta - Table021 (Page 15-16) (3)" description="Conexão com a consulta 'Table021 (Page 15-16) (3)' na pasta de trabalho." type="5" refreshedVersion="8" background="1" saveData="1">
    <dbPr connection="Provider=Microsoft.Mashup.OleDb.1;Data Source=$Workbook$;Location=&quot;Table021 (Page 15-16) (3)&quot;;Extended Properties=&quot;&quot;" command="SELECT * FROM [Table021 (Page 15-16) (3)]"/>
  </connection>
  <connection id="57" xr16:uid="{AE5744BB-A0C6-40DB-9DA1-CB6DF1BE23A1}" keepAlive="1" name="Consulta - Table021 (Page 15-16) (4)" description="Conexão com a consulta 'Table021 (Page 15-16) (4)' na pasta de trabalho." type="5" refreshedVersion="0" background="1">
    <dbPr connection="Provider=Microsoft.Mashup.OleDb.1;Data Source=$Workbook$;Location=&quot;Table021 (Page 15-16) (4)&quot;;Extended Properties=&quot;&quot;" command="SELECT * FROM [Table021 (Page 15-16) (4)]"/>
  </connection>
  <connection id="58" xr16:uid="{7C3121F4-DAE8-4B38-9090-116835AC3675}" keepAlive="1" name="Consulta - Table021 (Page 15-16) (5)" description="Conexão com a consulta 'Table021 (Page 15-16) (5)' na pasta de trabalho." type="5" refreshedVersion="8" background="1" saveData="1">
    <dbPr connection="Provider=Microsoft.Mashup.OleDb.1;Data Source=$Workbook$;Location=&quot;Table021 (Page 15-16) (5)&quot;;Extended Properties=&quot;&quot;" command="SELECT * FROM [Table021 (Page 15-16) (5)]"/>
  </connection>
  <connection id="59" xr16:uid="{69E01CC7-42D4-4268-88EB-057FC7858E7F}" keepAlive="1" name="Consulta - Table021 (Page 16-17)" description="Conexão com a consulta 'Table021 (Page 16-17)' na pasta de trabalho." type="5" refreshedVersion="8" background="1" saveData="1">
    <dbPr connection="Provider=Microsoft.Mashup.OleDb.1;Data Source=$Workbook$;Location=&quot;Table021 (Page 16-17)&quot;;Extended Properties=&quot;&quot;" command="SELECT * FROM [Table021 (Page 16-17)]"/>
  </connection>
  <connection id="60" xr16:uid="{D6853415-E9CA-4FAA-AA46-AE2AC6C01310}" keepAlive="1" name="Consulta - Table021 (Page 27)" description="Conexão com a consulta 'Table021 (Page 27)' na pasta de trabalho." type="5" refreshedVersion="0" background="1">
    <dbPr connection="Provider=Microsoft.Mashup.OleDb.1;Data Source=$Workbook$;Location=&quot;Table021 (Page 27)&quot;;Extended Properties=&quot;&quot;" command="SELECT * FROM [Table021 (Page 27)]"/>
  </connection>
  <connection id="61" xr16:uid="{7D2B47DE-E3AC-4C4B-8970-EAAE19A6855F}" keepAlive="1" name="Consulta - Table021 (Page 27) (2)" description="Conexão com a consulta 'Table021 (Page 27) (2)' na pasta de trabalho." type="5" refreshedVersion="8" background="1" saveData="1">
    <dbPr connection="Provider=Microsoft.Mashup.OleDb.1;Data Source=$Workbook$;Location=&quot;Table021 (Page 27) (2)&quot;;Extended Properties=&quot;&quot;" command="SELECT * FROM [Table021 (Page 27) (2)]"/>
  </connection>
  <connection id="62" xr16:uid="{93561DFA-0D9A-4878-A9BE-CE16C7AF1102}" keepAlive="1" name="ThisWorkbookDataModel" description="Modelo de Dad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<sst xmlns="http://schemas.openxmlformats.org/spreadsheetml/2006/main" count="1304" uniqueCount="356">
  <si>
    <t>x</t>
  </si>
  <si>
    <t>DEMONSTRAÇÃO DE RESULTADO</t>
  </si>
  <si>
    <t>INCOME STATEMENT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</si>
  <si>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</si>
  <si>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</si>
  <si>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</si>
  <si>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</si>
  <si>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</si>
  <si>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</si>
  <si>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</si>
  <si>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</si>
  <si>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</si>
  <si>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</si>
  <si>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</si>
  <si>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</si>
  <si>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</si>
  <si>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</si>
  <si>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(Em milhões de Reais)</t>
  </si>
  <si>
    <t>(Amounts in BRL million)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</si>
  <si>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</si>
  <si>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</si>
  <si>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</si>
  <si>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</si>
  <si>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</si>
  <si>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</si>
  <si>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</si>
  <si>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</si>
  <si>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</si>
  <si>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</si>
  <si>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</si>
  <si>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</si>
  <si>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</si>
  <si>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</si>
  <si>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Receita operacional líquida</t>
  </si>
  <si>
    <t>Net operating revenue</t>
  </si>
  <si>
    <t>Treatment and final destination</t>
  </si>
  <si>
    <t>Energy, Biogas and carbon credits</t>
  </si>
  <si>
    <t>Energia, Biogás e crédito de carbono</t>
  </si>
  <si>
    <t>Waste beneficiation</t>
  </si>
  <si>
    <t>Environmental Engineering</t>
  </si>
  <si>
    <t>Custo dos serviços prestados</t>
  </si>
  <si>
    <t>Cost of services provided</t>
  </si>
  <si>
    <t>Lucro (prejuízo) bruto</t>
  </si>
  <si>
    <t>Gross profit (loss)</t>
  </si>
  <si>
    <t>Despesas gerais e administrativas</t>
  </si>
  <si>
    <t>General and administrative expenses</t>
  </si>
  <si>
    <t>Outras receitas (despesas) operacionais, líquidas</t>
  </si>
  <si>
    <t>Other operational income (expenses)</t>
  </si>
  <si>
    <t>Resultado de equivalência patrimonial</t>
  </si>
  <si>
    <t>Equity income result</t>
  </si>
  <si>
    <t>Depreciação e amortização (inclui provisão para fechamento de aterros)</t>
  </si>
  <si>
    <t>Depreciation and amortization (Includes provision for landfill closure)</t>
  </si>
  <si>
    <t>Resultado financeiro líquido</t>
  </si>
  <si>
    <t>Net financial result</t>
  </si>
  <si>
    <t>Provisão para redução ao valor recuperável</t>
  </si>
  <si>
    <t>Provision for impairment of recoverable amount</t>
  </si>
  <si>
    <t>Lucro (prejuízo) antes do IR</t>
  </si>
  <si>
    <t>Income (loss) before IT/SC</t>
  </si>
  <si>
    <t>Imposto de renda e contribuição social</t>
  </si>
  <si>
    <t>Income tax and social contribution</t>
  </si>
  <si>
    <t xml:space="preserve">Lucro líquido (prejuízo) </t>
  </si>
  <si>
    <t>RECONCILIAÇÃO EBITDA</t>
  </si>
  <si>
    <t>EBITDA RECONCILIATION</t>
  </si>
  <si>
    <t>Resultado financeiro, líquido</t>
  </si>
  <si>
    <t>EBITDA</t>
  </si>
  <si>
    <t>Margem EBITDA (%)</t>
  </si>
  <si>
    <t>EBITDA margin (%)</t>
  </si>
  <si>
    <t>Balance Sheet</t>
  </si>
  <si>
    <t>Balanço Patrimonial</t>
  </si>
  <si>
    <t>4T19</t>
  </si>
  <si>
    <t>4Q19</t>
  </si>
  <si>
    <t>Current Assets</t>
  </si>
  <si>
    <t>Ativo Circulante</t>
  </si>
  <si>
    <t>Cash and cash equivalents</t>
  </si>
  <si>
    <t>Caixa e Equivalentes de Caixa</t>
  </si>
  <si>
    <t>Securities</t>
  </si>
  <si>
    <t>Títulos e valores mobiliários</t>
  </si>
  <si>
    <t>Restricted cash</t>
  </si>
  <si>
    <t>Caixa restrito</t>
  </si>
  <si>
    <t>Tax recoverable</t>
  </si>
  <si>
    <t>Accounts receivable</t>
  </si>
  <si>
    <t xml:space="preserve">Contas a receber </t>
  </si>
  <si>
    <t xml:space="preserve">Related parties </t>
  </si>
  <si>
    <t>Partes relacionadas</t>
  </si>
  <si>
    <t>Advances</t>
  </si>
  <si>
    <t>Adiantamentos</t>
  </si>
  <si>
    <t>Other currrent assets</t>
  </si>
  <si>
    <t>Non-current Assets</t>
  </si>
  <si>
    <t>Ativo Não Circulante</t>
  </si>
  <si>
    <t xml:space="preserve">Títulos e valores mobiliários </t>
  </si>
  <si>
    <t>Taxes and contributions deferred</t>
  </si>
  <si>
    <t>Imposto de renda e contribuição social diferidos</t>
  </si>
  <si>
    <t xml:space="preserve">Advances </t>
  </si>
  <si>
    <t xml:space="preserve">Judicial deposits and bonds </t>
  </si>
  <si>
    <t>Depósitos judiciais e cauções</t>
  </si>
  <si>
    <t xml:space="preserve">Right of use </t>
  </si>
  <si>
    <t>Direito de uso em arrendamento</t>
  </si>
  <si>
    <t>Fixed assets</t>
  </si>
  <si>
    <t xml:space="preserve">Intangible </t>
  </si>
  <si>
    <t>Intangível</t>
  </si>
  <si>
    <t>Total Assets</t>
  </si>
  <si>
    <t>Total Ativo</t>
  </si>
  <si>
    <t>Current Liabilities</t>
  </si>
  <si>
    <t>Passivo Circulante</t>
  </si>
  <si>
    <t>Suppliers</t>
  </si>
  <si>
    <t>Fornecedores</t>
  </si>
  <si>
    <t>Loans and Financing</t>
  </si>
  <si>
    <t>Empréstimos e financiamentos</t>
  </si>
  <si>
    <t>Leasing</t>
  </si>
  <si>
    <t>Arrendamentos</t>
  </si>
  <si>
    <t>Grants to pay</t>
  </si>
  <si>
    <t>Outorgas a pagar</t>
  </si>
  <si>
    <t>Wages and social securities contributions</t>
  </si>
  <si>
    <t>Salários e encargos sociais</t>
  </si>
  <si>
    <t>Taxes and contributions to pay</t>
  </si>
  <si>
    <t xml:space="preserve">Impostos e contribuições a recolher </t>
  </si>
  <si>
    <t>Tax Installment</t>
  </si>
  <si>
    <t>Parcelamento de impostos</t>
  </si>
  <si>
    <t xml:space="preserve">Customers advances </t>
  </si>
  <si>
    <t>Adiantamento de clientes</t>
  </si>
  <si>
    <t>Related parties</t>
  </si>
  <si>
    <t>Acquisitions to pay</t>
  </si>
  <si>
    <t>Aquisições a pagar</t>
  </si>
  <si>
    <t>Accounts to pay</t>
  </si>
  <si>
    <t>Contas a pagar</t>
  </si>
  <si>
    <t>Non-current Liabilities</t>
  </si>
  <si>
    <t>Passivo Não Circulante</t>
  </si>
  <si>
    <t>Tax financing</t>
  </si>
  <si>
    <t xml:space="preserve">PIS and COFINS deferred </t>
  </si>
  <si>
    <t>PIS e COFINS diferidos</t>
  </si>
  <si>
    <t>Tax and contributions deferred</t>
  </si>
  <si>
    <t>Customers advances</t>
  </si>
  <si>
    <t xml:space="preserve">Adiantamento clientes </t>
  </si>
  <si>
    <t>Provisão para perdas em investimentos</t>
  </si>
  <si>
    <t>Other non-current assets</t>
  </si>
  <si>
    <t>Outros passivos não circulantes</t>
  </si>
  <si>
    <t>Total Liabilities</t>
  </si>
  <si>
    <t>Passivo Total</t>
  </si>
  <si>
    <t>Equity</t>
  </si>
  <si>
    <t xml:space="preserve">Patrimônio Líquido </t>
  </si>
  <si>
    <t>Share capital</t>
  </si>
  <si>
    <t>Capital reserves</t>
  </si>
  <si>
    <t>Subscripition bonus</t>
  </si>
  <si>
    <t>Bônus de subscrição</t>
  </si>
  <si>
    <t xml:space="preserve">Cost of issuing shares </t>
  </si>
  <si>
    <t>Custo na emissão de ações</t>
  </si>
  <si>
    <t>Investments reserves</t>
  </si>
  <si>
    <t>Reservas para Investimentos</t>
  </si>
  <si>
    <t>Accumulated losses/profit</t>
  </si>
  <si>
    <t xml:space="preserve">Fair value adjustments </t>
  </si>
  <si>
    <t xml:space="preserve">Other comprehensive income </t>
  </si>
  <si>
    <t>Equity instruments</t>
  </si>
  <si>
    <t xml:space="preserve">Instrumentos patrimoniais </t>
  </si>
  <si>
    <t>Special reserve for goodwill</t>
  </si>
  <si>
    <t>Reserva especial de ágio</t>
  </si>
  <si>
    <t>Shareholder's equity</t>
  </si>
  <si>
    <t xml:space="preserve">Participação controladores </t>
  </si>
  <si>
    <t>Non controlling interest</t>
  </si>
  <si>
    <t xml:space="preserve">Participação não controladores </t>
  </si>
  <si>
    <t>Total Liabilities+Equity</t>
  </si>
  <si>
    <t xml:space="preserve">Passivo Total+Patrimônio Líquido </t>
  </si>
  <si>
    <t>-</t>
  </si>
  <si>
    <t>Ecoparque Barra Mansa</t>
  </si>
  <si>
    <t>Ecoparque João Pessoa</t>
  </si>
  <si>
    <t>Ecoparque Nova Iguaçu</t>
  </si>
  <si>
    <t>Ecoparque São Gonçalo</t>
  </si>
  <si>
    <t>Ecoparque Pantanal</t>
  </si>
  <si>
    <t>Ecoparque Paulínia</t>
  </si>
  <si>
    <t>Ecoparque Tremembé</t>
  </si>
  <si>
    <t>Ecoparque Itapevi</t>
  </si>
  <si>
    <t>Ecoparque Itaboraí</t>
  </si>
  <si>
    <t>Ecoparque Maceió</t>
  </si>
  <si>
    <t>Ecoparque Sergipe</t>
  </si>
  <si>
    <t>Ecoparque Santa Luzia</t>
  </si>
  <si>
    <t>Ecoparque Porto Velho</t>
  </si>
  <si>
    <t>Outros Ativos</t>
  </si>
  <si>
    <t>Un. de Beneficiamento de Resíduos Magé</t>
  </si>
  <si>
    <t>Incinerador Belford Roxo</t>
  </si>
  <si>
    <t>Un. de Beneficiamento de Resíduos Finos Siderúrgicos</t>
  </si>
  <si>
    <t>Un. Beneficiamento de Sorocaba</t>
  </si>
  <si>
    <t>Sorocaba Oxil | Manufatura Reversa</t>
  </si>
  <si>
    <t>Crédito de Carbono Gerado (tCO2e)</t>
  </si>
  <si>
    <t>Volume Energia (Mwh)</t>
  </si>
  <si>
    <t>Total de Volume de Energia (MWh)</t>
  </si>
  <si>
    <t>São considerados os volumes completos dos dos ativos consolidados ao longo dos períodos</t>
  </si>
  <si>
    <t>The complete volumes of consolidated assets over the periods are considered</t>
  </si>
  <si>
    <t>3T23</t>
  </si>
  <si>
    <t>Other Assets</t>
  </si>
  <si>
    <t>Carbon Credit Generated (tCO2e)</t>
  </si>
  <si>
    <t>Total of Carbon Credit Generated (tCO2e)</t>
  </si>
  <si>
    <t>Total Crédito de Carbono Gerado (tCO2e)</t>
  </si>
  <si>
    <t>Energy Volume (Mwh)</t>
  </si>
  <si>
    <t>Total of Energy Volume (Mwh)</t>
  </si>
  <si>
    <t>3Q23</t>
  </si>
  <si>
    <t>Participação acionária</t>
  </si>
  <si>
    <t>Shareholding</t>
  </si>
  <si>
    <t xml:space="preserve"> Total Ecoparques</t>
  </si>
  <si>
    <t xml:space="preserve"> Ecoparks Total</t>
  </si>
  <si>
    <t>Biogás (Nm³/hora) Média Mensal</t>
  </si>
  <si>
    <t>Total of Biogas (Nm³/hour) Monthly Average</t>
  </si>
  <si>
    <t>Biogas (Nm³/hour) Monthly Average</t>
  </si>
  <si>
    <t>Imobilizado em operação</t>
  </si>
  <si>
    <t>Tributos a recuperar</t>
  </si>
  <si>
    <t>Outros ativos circulantes</t>
  </si>
  <si>
    <t>Capital social</t>
  </si>
  <si>
    <t>Reservas de capital</t>
  </si>
  <si>
    <t>Lucros/prejuízos acumulados</t>
  </si>
  <si>
    <t>Ajustes de avaliação patrimonial</t>
  </si>
  <si>
    <t>Outros resultados abrangentes - outros</t>
  </si>
  <si>
    <t>Provision</t>
  </si>
  <si>
    <t>4T23</t>
  </si>
  <si>
    <t>4Q23</t>
  </si>
  <si>
    <t>Beneficiamento de resíduos/WTE</t>
  </si>
  <si>
    <t>Tratamento e destinação final</t>
  </si>
  <si>
    <t>Engenharia ambiental</t>
  </si>
  <si>
    <t>Investimentos</t>
  </si>
  <si>
    <t>Outros passivos circulantes</t>
  </si>
  <si>
    <t>Other currrent liabilities</t>
  </si>
  <si>
    <t>1T24</t>
  </si>
  <si>
    <t>1Q24</t>
  </si>
  <si>
    <t>Custo dos serviços prestados ex depreciação</t>
  </si>
  <si>
    <r>
      <t>Total of Waste Volume (kton)</t>
    </r>
    <r>
      <rPr>
        <b/>
        <vertAlign val="superscript"/>
        <sz val="10"/>
        <color theme="0"/>
        <rFont val="Calibri Light"/>
        <family val="2"/>
        <scheme val="major"/>
      </rPr>
      <t>(1)</t>
    </r>
  </si>
  <si>
    <r>
      <t xml:space="preserve">Total de Volume de Resíduos (kton) </t>
    </r>
    <r>
      <rPr>
        <b/>
        <vertAlign val="superscript"/>
        <sz val="10"/>
        <color theme="0"/>
        <rFont val="Calibri Light"/>
        <family val="2"/>
        <scheme val="major"/>
      </rPr>
      <t>(1)</t>
    </r>
  </si>
  <si>
    <t>Waste processing and WtE</t>
  </si>
  <si>
    <t>Environmental engineering</t>
  </si>
  <si>
    <t>Cost of services provided ex-e depreciation</t>
  </si>
  <si>
    <t>LUCRO BRUTO ANTES DA DEPRECIAÇÃO POR SEGMENTO</t>
  </si>
  <si>
    <t>GROSS PROFIT BEFORE DEPRECIATION</t>
  </si>
  <si>
    <t>Net Income (loss)</t>
  </si>
  <si>
    <t>Magé Blending Plant</t>
  </si>
  <si>
    <t xml:space="preserve">Volta Redonda Waste Processing </t>
  </si>
  <si>
    <t>Sorocaba Blending Plant</t>
  </si>
  <si>
    <t>Sorocaba Oxil | Reverse Manufacturing</t>
  </si>
  <si>
    <t>2T24</t>
  </si>
  <si>
    <t>2Q24</t>
  </si>
  <si>
    <t>Total de Biogás Gerado (Nm³/hora) Média Mensal</t>
  </si>
  <si>
    <t>EBITDA ajustado</t>
  </si>
  <si>
    <t>2020 (FY)</t>
  </si>
  <si>
    <t>2019 (FY)</t>
  </si>
  <si>
    <t>2021 (FY)</t>
  </si>
  <si>
    <t>2022 (FY)</t>
  </si>
  <si>
    <t>2023 (FY)</t>
  </si>
  <si>
    <t>Incinerator Belford Roxo</t>
  </si>
  <si>
    <t>Volume Total de Resíduos (k tons)</t>
  </si>
  <si>
    <t>Total Waste Volume (k tons)</t>
  </si>
  <si>
    <t>Adjusted EBITDA Margin</t>
  </si>
  <si>
    <t>3T24</t>
  </si>
  <si>
    <t>3Q24</t>
  </si>
  <si>
    <t>Investments</t>
  </si>
  <si>
    <t>Ecoparque Juazeiro do Norte</t>
  </si>
  <si>
    <t>4T24</t>
  </si>
  <si>
    <t>4Q24</t>
  </si>
  <si>
    <t>2024 (FY)</t>
  </si>
  <si>
    <t>Treatment and final disposal</t>
  </si>
  <si>
    <t>Energy, biogas, and carbon credits</t>
  </si>
  <si>
    <t>Adjusted EBITDA</t>
  </si>
  <si>
    <t>MARGEM BRUTA ANTES DA DEPRECIAÇÃO POR SEGMENTO</t>
  </si>
  <si>
    <t>GROSS MARGIN BEFORE DEPRECIATION</t>
  </si>
  <si>
    <t>(%)</t>
  </si>
  <si>
    <t>1T25</t>
  </si>
  <si>
    <t>1Q25</t>
  </si>
  <si>
    <t>Provisões para contingências</t>
  </si>
  <si>
    <t>check</t>
  </si>
  <si>
    <t>(5) Dívida Líquida IFRS sem aquisições: (1)+(2.a)+(2.b)-(3)</t>
  </si>
  <si>
    <t>(6) Dívida Líquida BRGAAP com aquisições: (1)+(4)-(3)</t>
  </si>
  <si>
    <t>(4) Aquisições a pagar (CP+LP)</t>
  </si>
  <si>
    <t>(3) Caixa e equivalentes</t>
  </si>
  <si>
    <t>(2.b) Arendamentos - não circulante</t>
  </si>
  <si>
    <t>(2.a) Arendamentos - circulante</t>
  </si>
  <si>
    <t>(1) Dívida Bruta</t>
  </si>
  <si>
    <t>(8) EBITDA Ajustado LTM</t>
  </si>
  <si>
    <t>Dívida Líquida / EBITDA Ajustado LTM - com arrendamentos: (5)/(8)</t>
  </si>
  <si>
    <t>Dívida Líquida BRGAAP / EBITDA Ajustado LTM - com aquisições: (6)/(8)</t>
  </si>
  <si>
    <t>Lucro Bruto</t>
  </si>
  <si>
    <t>Gross profit</t>
  </si>
  <si>
    <t>Ecoparque Juazeiro</t>
  </si>
  <si>
    <t>Ecopark Barra Mansa</t>
  </si>
  <si>
    <t>Ecopark João Pessoa</t>
  </si>
  <si>
    <t>Ecopark Nova Iguaçu</t>
  </si>
  <si>
    <t>Ecopark São Gonçalo</t>
  </si>
  <si>
    <t>Ecopark Pantanal</t>
  </si>
  <si>
    <t>Ecopark Paulínia</t>
  </si>
  <si>
    <t>Ecopark Tremembé</t>
  </si>
  <si>
    <t>Ecopark Itapevi</t>
  </si>
  <si>
    <t>Ecopark Itaboraí</t>
  </si>
  <si>
    <t>Ecopark Maceió</t>
  </si>
  <si>
    <t>Ecopark Sergipe</t>
  </si>
  <si>
    <t>Ecopark Santa Luzia</t>
  </si>
  <si>
    <t>Ecopark Porto Velho</t>
  </si>
  <si>
    <t>Ecopark Juazeiro</t>
  </si>
  <si>
    <t>Ecopark Juazeiro do Norte</t>
  </si>
  <si>
    <t>2T25</t>
  </si>
  <si>
    <t>2Q25</t>
  </si>
  <si>
    <t>Destinação final</t>
  </si>
  <si>
    <t>Transição energética</t>
  </si>
  <si>
    <t>Economia circular</t>
  </si>
  <si>
    <t>Final destination</t>
  </si>
  <si>
    <t>Energy transition</t>
  </si>
  <si>
    <t>Circular economy</t>
  </si>
  <si>
    <t>SEGMENTAÇÃO ANTIGA &gt;&gt;&gt;&gt;&gt;</t>
  </si>
  <si>
    <t>NOVA SEGMENTAÇÃO &gt;&gt;&gt;&gt;&gt;</t>
  </si>
  <si>
    <t>PLANILHA DE FUNDAMENTOS</t>
  </si>
  <si>
    <t>FUNDAMENTALS WORKSHEET</t>
  </si>
  <si>
    <t>ORIZON VALORIZAÇÃO DE RESÍDUOS</t>
  </si>
  <si>
    <t>CAPEX POR SEGMENTO</t>
  </si>
  <si>
    <t>CAPEX BREAKDOWN</t>
  </si>
  <si>
    <t>Manutenção</t>
  </si>
  <si>
    <t>Serviços de Engenharia Ambiental</t>
  </si>
  <si>
    <t>Tratamento e Destinação Final</t>
  </si>
  <si>
    <t>Energia de Biogás, Biogás e Créditos de Carbono</t>
  </si>
  <si>
    <t>Beneficiamento de Resíduos e WTE</t>
  </si>
  <si>
    <t>Expansão</t>
  </si>
  <si>
    <t>Total</t>
  </si>
  <si>
    <t>Destinação Final</t>
  </si>
  <si>
    <t>Transição Energética</t>
  </si>
  <si>
    <t>Economia Circular</t>
  </si>
  <si>
    <t>OLD BREAKDOWN  &gt;&gt;&gt;&gt;&gt;</t>
  </si>
  <si>
    <t>NEW BREAKDOWN &gt;&gt;&gt;&gt;&gt;</t>
  </si>
  <si>
    <t>(Amounts in BRL thousands)</t>
  </si>
  <si>
    <t>(Em milhares de Reais)</t>
  </si>
  <si>
    <t>(7) EBITDA LTM</t>
  </si>
  <si>
    <t>Dívida Líquida / EBITDA LTM - com arrendamentos: (5)/(7)</t>
  </si>
  <si>
    <t>Dívida Líquida BRGAAP / EBITDA LTM - com aquisições: (6)/(7)</t>
  </si>
  <si>
    <t>3T25</t>
  </si>
  <si>
    <t>3Q25</t>
  </si>
  <si>
    <t>Custo do pré-pagamento de debêntures</t>
  </si>
  <si>
    <t>Efeito caixa</t>
  </si>
  <si>
    <t>Efeito não-caixa</t>
  </si>
  <si>
    <t>Lucro líquido recorrente</t>
  </si>
  <si>
    <t>Non-recurring effects</t>
  </si>
  <si>
    <t>Efeitos não-recorrentes</t>
  </si>
  <si>
    <t>Debt prepayment cost</t>
  </si>
  <si>
    <t>Cash effect</t>
  </si>
  <si>
    <t>Non-cash effect</t>
  </si>
  <si>
    <t>Legenda:</t>
  </si>
  <si>
    <t>Ecopark Oeste Paulista</t>
  </si>
  <si>
    <t>4T25</t>
  </si>
  <si>
    <t>4Q25</t>
  </si>
  <si>
    <t>2025(FY)</t>
  </si>
  <si>
    <t>2025 (FY)</t>
  </si>
  <si>
    <t>?</t>
  </si>
  <si>
    <t>Ecoparque Jaboatão</t>
  </si>
  <si>
    <t>Ecoparque Cerrado</t>
  </si>
  <si>
    <t>Ecopark Cerrado</t>
  </si>
  <si>
    <t xml:space="preserve">Ecopark Jaboatão </t>
  </si>
  <si>
    <t>Ecoparque Oeste Paulista</t>
  </si>
  <si>
    <t>Ecopark Alto Oeste</t>
  </si>
  <si>
    <t>Ecoparque Alto Oeste</t>
  </si>
  <si>
    <t xml:space="preserve">Ecoparque Jaboatão </t>
  </si>
  <si>
    <t>Ecopark Jaboatão</t>
  </si>
  <si>
    <t>Usa Benefício Sudam/Sudene</t>
  </si>
  <si>
    <t>Use Sudam/Sudene Benefit</t>
  </si>
  <si>
    <t>Não/No</t>
  </si>
  <si>
    <t>Sim/Yes</t>
  </si>
  <si>
    <t>1T26</t>
  </si>
  <si>
    <t>1Q26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</si>
</sst>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%"/>
    <numFmt numFmtId="165" formatCode="#,##0.0"/>
    <numFmt numFmtId="166" formatCode="#,##0.0000"/>
    <numFmt numFmtId="167" formatCode="#,##0.000"/>
    <numFmt numFmtId="168" formatCode="0.00\ \x"/>
    <numFmt numFmtId="169" formatCode="#,##0;\(#,##0\)"/>
    <numFmt numFmtId="170" formatCode="#,##0.0;\(#,##0.0\)"/>
    <numFmt numFmtId="171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color rgb="FF000000"/>
      <name val="Calibri"/>
      <family val="2"/>
    </font>
    <font>
      <sz val="10"/>
      <color theme="1"/>
      <name val="Calibri Light"/>
      <family val="2"/>
      <scheme val="major"/>
    </font>
    <font>
      <sz val="10"/>
      <color theme="1"/>
      <name val="Abadi"/>
      <family val="2"/>
    </font>
    <font>
      <b/>
      <sz val="10"/>
      <color theme="0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sz val="10"/>
      <color theme="0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 Light"/>
      <family val="2"/>
    </font>
    <font>
      <b/>
      <sz val="10"/>
      <color theme="1"/>
      <name val="Calibri Light"/>
      <family val="2"/>
      <scheme val="major"/>
    </font>
    <font>
      <b/>
      <vertAlign val="superscript"/>
      <sz val="10"/>
      <color theme="0"/>
      <name val="Calibri Light"/>
      <family val="2"/>
      <scheme val="maj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u/>
      <sz val="10"/>
      <color theme="0"/>
      <name val="Calibri Light"/>
      <family val="2"/>
      <scheme val="major"/>
    </font>
    <font>
      <b/>
      <i/>
      <u/>
      <sz val="10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b/>
      <sz val="10"/>
      <color theme="1"/>
      <name val="Abadi"/>
      <family val="2"/>
    </font>
    <font>
      <sz val="10"/>
      <name val="Open Sans"/>
      <family val="2"/>
    </font>
    <font>
      <sz val="8"/>
      <color rgb="FF5A5857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5666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4">
    <xf numFmtId="0" fontId="0" fillId="0" borderId="0" xfId="0"/>
    <xf numFmtId="0" fontId="8" fillId="0" borderId="0" xfId="0" applyFont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3" fontId="9" fillId="2" borderId="0" xfId="0" applyNumberFormat="1" applyFont="1" applyFill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3" fontId="12" fillId="4" borderId="0" xfId="0" applyNumberFormat="1" applyFont="1" applyFill="1"/>
    <xf numFmtId="3" fontId="12" fillId="4" borderId="0" xfId="0" applyNumberFormat="1" applyFont="1" applyFill="1" applyAlignment="1">
      <alignment horizontal="right"/>
    </xf>
    <xf numFmtId="3" fontId="13" fillId="3" borderId="0" xfId="0" applyNumberFormat="1" applyFont="1" applyFill="1" applyAlignment="1">
      <alignment horizontal="left" indent="2"/>
    </xf>
    <xf numFmtId="3" fontId="13" fillId="3" borderId="0" xfId="0" applyNumberFormat="1" applyFont="1" applyFill="1"/>
    <xf numFmtId="3" fontId="13" fillId="3" borderId="0" xfId="0" applyNumberFormat="1" applyFont="1" applyFill="1" applyAlignment="1">
      <alignment horizontal="right"/>
    </xf>
    <xf numFmtId="3" fontId="13" fillId="4" borderId="0" xfId="0" applyNumberFormat="1" applyFont="1" applyFill="1" applyAlignment="1">
      <alignment horizontal="left" indent="2"/>
    </xf>
    <xf numFmtId="3" fontId="13" fillId="4" borderId="0" xfId="0" applyNumberFormat="1" applyFont="1" applyFill="1" applyAlignment="1">
      <alignment horizontal="right"/>
    </xf>
    <xf numFmtId="3" fontId="13" fillId="4" borderId="0" xfId="0" applyNumberFormat="1" applyFont="1" applyFill="1"/>
    <xf numFmtId="3" fontId="12" fillId="3" borderId="0" xfId="0" applyNumberFormat="1" applyFont="1" applyFill="1"/>
    <xf numFmtId="3" fontId="12" fillId="3" borderId="0" xfId="0" applyNumberFormat="1" applyFont="1" applyFill="1" applyAlignment="1">
      <alignment horizontal="right"/>
    </xf>
    <xf numFmtId="3" fontId="12" fillId="4" borderId="0" xfId="0" applyNumberFormat="1" applyFont="1" applyFill="1" applyAlignment="1">
      <alignment horizontal="left" indent="2"/>
    </xf>
    <xf numFmtId="3" fontId="12" fillId="3" borderId="1" xfId="0" applyNumberFormat="1" applyFont="1" applyFill="1" applyBorder="1"/>
    <xf numFmtId="3" fontId="12" fillId="3" borderId="1" xfId="0" applyNumberFormat="1" applyFont="1" applyFill="1" applyBorder="1" applyAlignment="1">
      <alignment horizontal="right"/>
    </xf>
    <xf numFmtId="3" fontId="11" fillId="2" borderId="0" xfId="0" applyNumberFormat="1" applyFont="1" applyFill="1"/>
    <xf numFmtId="164" fontId="12" fillId="3" borderId="1" xfId="0" applyNumberFormat="1" applyFont="1" applyFill="1" applyBorder="1"/>
    <xf numFmtId="164" fontId="12" fillId="3" borderId="1" xfId="0" applyNumberFormat="1" applyFont="1" applyFill="1" applyBorder="1" applyAlignment="1">
      <alignment horizontal="right"/>
    </xf>
    <xf numFmtId="0" fontId="9" fillId="0" borderId="0" xfId="0" applyFont="1"/>
    <xf numFmtId="3" fontId="13" fillId="3" borderId="1" xfId="0" applyNumberFormat="1" applyFont="1" applyFill="1" applyBorder="1"/>
    <xf numFmtId="3" fontId="13" fillId="3" borderId="1" xfId="0" applyNumberFormat="1" applyFont="1" applyFill="1" applyBorder="1" applyAlignment="1">
      <alignment horizontal="right"/>
    </xf>
    <xf numFmtId="0" fontId="15" fillId="0" borderId="0" xfId="0" applyFont="1"/>
    <xf numFmtId="0" fontId="10" fillId="0" borderId="0" xfId="0" applyFont="1"/>
    <xf numFmtId="3" fontId="15" fillId="0" borderId="0" xfId="0" applyNumberFormat="1" applyFont="1"/>
    <xf numFmtId="0" fontId="16" fillId="4" borderId="0" xfId="0" applyFont="1" applyFill="1"/>
    <xf numFmtId="3" fontId="17" fillId="4" borderId="0" xfId="0" applyNumberFormat="1" applyFont="1" applyFill="1" applyAlignment="1">
      <alignment horizontal="right"/>
    </xf>
    <xf numFmtId="4" fontId="9" fillId="0" borderId="0" xfId="0" applyNumberFormat="1" applyFont="1" applyAlignment="1">
      <alignment horizontal="center"/>
    </xf>
    <xf numFmtId="0" fontId="14" fillId="0" borderId="0" xfId="0" applyFont="1"/>
    <xf numFmtId="3" fontId="9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5" fillId="2" borderId="0" xfId="0" applyFont="1" applyFill="1"/>
    <xf numFmtId="165" fontId="9" fillId="4" borderId="2" xfId="0" applyNumberFormat="1" applyFont="1" applyFill="1" applyBorder="1" applyAlignment="1">
      <alignment horizontal="left" indent="1"/>
    </xf>
    <xf numFmtId="165" fontId="9" fillId="4" borderId="2" xfId="1" applyNumberFormat="1" applyFont="1" applyFill="1" applyBorder="1"/>
    <xf numFmtId="165" fontId="9" fillId="4" borderId="3" xfId="0" applyNumberFormat="1" applyFont="1" applyFill="1" applyBorder="1" applyAlignment="1">
      <alignment horizontal="left" indent="1"/>
    </xf>
    <xf numFmtId="165" fontId="9" fillId="4" borderId="3" xfId="1" applyNumberFormat="1" applyFont="1" applyFill="1" applyBorder="1"/>
    <xf numFmtId="165" fontId="18" fillId="5" borderId="0" xfId="0" applyNumberFormat="1" applyFont="1" applyFill="1" applyAlignment="1">
      <alignment horizontal="right"/>
    </xf>
    <xf numFmtId="165" fontId="18" fillId="5" borderId="0" xfId="0" applyNumberFormat="1" applyFont="1" applyFill="1" applyAlignment="1">
      <alignment horizontal="left"/>
    </xf>
    <xf numFmtId="165" fontId="12" fillId="5" borderId="0" xfId="0" applyNumberFormat="1" applyFont="1" applyFill="1" applyAlignment="1">
      <alignment horizontal="right"/>
    </xf>
    <xf numFmtId="165" fontId="18" fillId="5" borderId="0" xfId="1" applyNumberFormat="1" applyFont="1" applyFill="1" applyBorder="1"/>
    <xf numFmtId="165" fontId="11" fillId="2" borderId="0" xfId="0" applyNumberFormat="1" applyFont="1" applyFill="1" applyAlignment="1">
      <alignment horizontal="right" vertical="center"/>
    </xf>
    <xf numFmtId="165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0" fontId="9" fillId="4" borderId="0" xfId="0" applyFont="1" applyFill="1"/>
    <xf numFmtId="0" fontId="15" fillId="4" borderId="0" xfId="0" applyFont="1" applyFill="1"/>
    <xf numFmtId="3" fontId="9" fillId="4" borderId="3" xfId="0" applyNumberFormat="1" applyFont="1" applyFill="1" applyBorder="1" applyAlignment="1">
      <alignment horizontal="left" indent="1"/>
    </xf>
    <xf numFmtId="3" fontId="15" fillId="4" borderId="0" xfId="0" applyNumberFormat="1" applyFont="1" applyFill="1"/>
    <xf numFmtId="3" fontId="9" fillId="4" borderId="2" xfId="0" applyNumberFormat="1" applyFont="1" applyFill="1" applyBorder="1" applyAlignment="1">
      <alignment horizontal="left" indent="1"/>
    </xf>
    <xf numFmtId="9" fontId="15" fillId="4" borderId="0" xfId="0" applyNumberFormat="1" applyFont="1" applyFill="1"/>
    <xf numFmtId="0" fontId="20" fillId="2" borderId="0" xfId="0" applyFont="1" applyFill="1"/>
    <xf numFmtId="9" fontId="9" fillId="4" borderId="2" xfId="1" applyNumberFormat="1" applyFont="1" applyFill="1" applyBorder="1"/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right" vertical="center"/>
    </xf>
    <xf numFmtId="3" fontId="9" fillId="4" borderId="0" xfId="0" applyNumberFormat="1" applyFont="1" applyFill="1"/>
    <xf numFmtId="0" fontId="13" fillId="4" borderId="0" xfId="0" applyFont="1" applyFill="1"/>
    <xf numFmtId="165" fontId="9" fillId="4" borderId="0" xfId="0" applyNumberFormat="1" applyFont="1" applyFill="1" applyAlignment="1">
      <alignment horizontal="left" indent="1"/>
    </xf>
    <xf numFmtId="3" fontId="13" fillId="4" borderId="0" xfId="0" applyNumberFormat="1" applyFont="1" applyFill="1" applyAlignment="1">
      <alignment horizontal="center"/>
    </xf>
    <xf numFmtId="3" fontId="13" fillId="3" borderId="0" xfId="0" applyNumberFormat="1" applyFont="1" applyFill="1" applyAlignment="1">
      <alignment horizontal="center"/>
    </xf>
    <xf numFmtId="3" fontId="13" fillId="3" borderId="1" xfId="0" applyNumberFormat="1" applyFont="1" applyFill="1" applyBorder="1" applyAlignment="1">
      <alignment horizontal="center"/>
    </xf>
    <xf numFmtId="3" fontId="12" fillId="4" borderId="0" xfId="0" applyNumberFormat="1" applyFon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3" fontId="12" fillId="3" borderId="1" xfId="0" applyNumberFormat="1" applyFont="1" applyFill="1" applyBorder="1" applyAlignment="1">
      <alignment horizontal="center"/>
    </xf>
    <xf numFmtId="164" fontId="12" fillId="3" borderId="1" xfId="0" applyNumberFormat="1" applyFont="1" applyFill="1" applyBorder="1" applyAlignment="1">
      <alignment horizontal="center"/>
    </xf>
    <xf numFmtId="164" fontId="12" fillId="3" borderId="1" xfId="3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4" fontId="13" fillId="4" borderId="0" xfId="0" applyNumberFormat="1" applyFont="1" applyFill="1" applyAlignment="1">
      <alignment horizontal="center"/>
    </xf>
    <xf numFmtId="164" fontId="13" fillId="3" borderId="0" xfId="0" applyNumberFormat="1" applyFont="1" applyFill="1" applyAlignment="1">
      <alignment horizontal="center"/>
    </xf>
    <xf numFmtId="164" fontId="13" fillId="3" borderId="1" xfId="0" applyNumberFormat="1" applyFont="1" applyFill="1" applyBorder="1" applyAlignment="1">
      <alignment horizontal="center"/>
    </xf>
    <xf numFmtId="3" fontId="17" fillId="4" borderId="0" xfId="0" applyNumberFormat="1" applyFont="1" applyFill="1" applyAlignment="1">
      <alignment horizontal="center"/>
    </xf>
    <xf numFmtId="168" fontId="9" fillId="0" borderId="0" xfId="0" applyNumberFormat="1" applyFont="1" applyAlignment="1">
      <alignment horizontal="center"/>
    </xf>
    <xf numFmtId="0" fontId="9" fillId="0" borderId="5" xfId="0" applyFont="1" applyBorder="1"/>
    <xf numFmtId="0" fontId="9" fillId="0" borderId="4" xfId="0" applyFont="1" applyBorder="1"/>
    <xf numFmtId="3" fontId="9" fillId="0" borderId="4" xfId="0" applyNumberFormat="1" applyFont="1" applyBorder="1" applyAlignment="1">
      <alignment horizontal="center"/>
    </xf>
    <xf numFmtId="0" fontId="9" fillId="0" borderId="6" xfId="0" applyFont="1" applyBorder="1"/>
    <xf numFmtId="0" fontId="18" fillId="0" borderId="4" xfId="0" applyFont="1" applyBorder="1"/>
    <xf numFmtId="168" fontId="18" fillId="0" borderId="4" xfId="0" applyNumberFormat="1" applyFont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164" fontId="11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right"/>
    </xf>
    <xf numFmtId="3" fontId="11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 vertical="center"/>
    </xf>
    <xf numFmtId="165" fontId="9" fillId="4" borderId="2" xfId="1" applyNumberFormat="1" applyFont="1" applyFill="1" applyBorder="1" applyAlignment="1">
      <alignment horizontal="right"/>
    </xf>
    <xf numFmtId="165" fontId="9" fillId="4" borderId="3" xfId="1" applyNumberFormat="1" applyFont="1" applyFill="1" applyBorder="1" applyAlignment="1">
      <alignment horizontal="right"/>
    </xf>
    <xf numFmtId="166" fontId="9" fillId="4" borderId="3" xfId="1" applyNumberFormat="1" applyFont="1" applyFill="1" applyBorder="1" applyAlignment="1">
      <alignment horizontal="right"/>
    </xf>
    <xf numFmtId="166" fontId="9" fillId="4" borderId="2" xfId="1" applyNumberFormat="1" applyFont="1" applyFill="1" applyBorder="1" applyAlignment="1">
      <alignment horizontal="right"/>
    </xf>
    <xf numFmtId="167" fontId="9" fillId="4" borderId="2" xfId="1" applyNumberFormat="1" applyFont="1" applyFill="1" applyBorder="1" applyAlignment="1">
      <alignment horizontal="right"/>
    </xf>
    <xf numFmtId="165" fontId="18" fillId="5" borderId="0" xfId="1" applyNumberFormat="1" applyFont="1" applyFill="1" applyBorder="1" applyAlignment="1">
      <alignment horizontal="right"/>
    </xf>
    <xf numFmtId="165" fontId="15" fillId="4" borderId="0" xfId="0" applyNumberFormat="1" applyFont="1" applyFill="1" applyAlignment="1">
      <alignment horizontal="right"/>
    </xf>
    <xf numFmtId="0" fontId="15" fillId="4" borderId="0" xfId="0" applyFont="1" applyFill="1" applyAlignment="1">
      <alignment horizontal="right"/>
    </xf>
    <xf numFmtId="3" fontId="15" fillId="4" borderId="0" xfId="0" applyNumberFormat="1" applyFont="1" applyFill="1" applyAlignment="1">
      <alignment horizontal="right"/>
    </xf>
    <xf numFmtId="10" fontId="15" fillId="4" borderId="0" xfId="0" applyNumberFormat="1" applyFont="1" applyFill="1" applyAlignment="1">
      <alignment horizontal="right"/>
    </xf>
    <xf numFmtId="164" fontId="15" fillId="4" borderId="0" xfId="0" applyNumberFormat="1" applyFont="1" applyFill="1" applyAlignment="1">
      <alignment horizontal="right"/>
    </xf>
    <xf numFmtId="9" fontId="15" fillId="4" borderId="0" xfId="0" applyNumberFormat="1" applyFont="1" applyFill="1" applyAlignment="1">
      <alignment horizontal="right"/>
    </xf>
    <xf numFmtId="0" fontId="20" fillId="2" borderId="0" xfId="0" applyFont="1" applyFill="1" applyAlignment="1">
      <alignment horizontal="right"/>
    </xf>
    <xf numFmtId="9" fontId="9" fillId="4" borderId="2" xfId="1" applyNumberFormat="1" applyFont="1" applyFill="1" applyBorder="1" applyAlignment="1">
      <alignment horizontal="right"/>
    </xf>
    <xf numFmtId="0" fontId="15" fillId="2" borderId="0" xfId="0" applyFont="1" applyFill="1" applyAlignment="1">
      <alignment horizontal="right"/>
    </xf>
    <xf numFmtId="0" fontId="8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10" fontId="13" fillId="4" borderId="0" xfId="0" applyNumberFormat="1" applyFont="1" applyFill="1" applyAlignment="1">
      <alignment horizontal="right"/>
    </xf>
    <xf numFmtId="0" fontId="22" fillId="2" borderId="0" xfId="0" applyFont="1" applyFill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13" fillId="3" borderId="0" xfId="0" applyNumberFormat="1" applyFont="1" applyFill="1" applyAlignment="1">
      <alignment horizontal="left"/>
    </xf>
    <xf numFmtId="3" fontId="13" fillId="0" borderId="0" xfId="0" applyNumberFormat="1" applyFont="1" applyAlignment="1">
      <alignment horizontal="left"/>
    </xf>
    <xf numFmtId="3" fontId="13" fillId="0" borderId="0" xfId="0" applyNumberFormat="1" applyFont="1"/>
    <xf numFmtId="3" fontId="1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right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0" fontId="9" fillId="0" borderId="1" xfId="0" applyFont="1" applyBorder="1"/>
    <xf numFmtId="3" fontId="13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12" fillId="0" borderId="0" xfId="0" applyNumberFormat="1" applyFont="1"/>
    <xf numFmtId="3" fontId="12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right"/>
    </xf>
    <xf numFmtId="3" fontId="12" fillId="3" borderId="0" xfId="0" applyNumberFormat="1" applyFont="1" applyFill="1" applyAlignment="1">
      <alignment horizontal="left" indent="2"/>
    </xf>
    <xf numFmtId="165" fontId="13" fillId="0" borderId="0" xfId="0" applyNumberFormat="1" applyFont="1" applyAlignment="1">
      <alignment horizontal="left" indent="2"/>
    </xf>
    <xf numFmtId="165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/>
    </xf>
    <xf numFmtId="165" fontId="13" fillId="3" borderId="0" xfId="0" applyNumberFormat="1" applyFont="1" applyFill="1" applyAlignment="1">
      <alignment horizontal="left" indent="2"/>
    </xf>
    <xf numFmtId="165" fontId="13" fillId="3" borderId="0" xfId="0" applyNumberFormat="1" applyFont="1" applyFill="1" applyAlignment="1">
      <alignment horizontal="center"/>
    </xf>
    <xf numFmtId="165" fontId="13" fillId="3" borderId="0" xfId="0" applyNumberFormat="1" applyFont="1" applyFill="1" applyAlignment="1">
      <alignment horizontal="right"/>
    </xf>
    <xf numFmtId="165" fontId="9" fillId="0" borderId="0" xfId="0" applyNumberFormat="1" applyFont="1" applyAlignment="1">
      <alignment horizontal="center"/>
    </xf>
    <xf numFmtId="165" fontId="9" fillId="3" borderId="0" xfId="0" applyNumberFormat="1" applyFont="1" applyFill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4" fontId="9" fillId="0" borderId="0" xfId="3" applyNumberFormat="1" applyFont="1" applyFill="1"/>
    <xf numFmtId="164" fontId="13" fillId="0" borderId="0" xfId="3" applyNumberFormat="1" applyFont="1" applyFill="1" applyAlignment="1">
      <alignment horizontal="left"/>
    </xf>
    <xf numFmtId="164" fontId="9" fillId="0" borderId="0" xfId="3" applyNumberFormat="1" applyFont="1" applyFill="1" applyAlignment="1">
      <alignment horizontal="center"/>
    </xf>
    <xf numFmtId="164" fontId="9" fillId="3" borderId="0" xfId="3" applyNumberFormat="1" applyFont="1" applyFill="1"/>
    <xf numFmtId="164" fontId="13" fillId="3" borderId="0" xfId="3" applyNumberFormat="1" applyFont="1" applyFill="1" applyAlignment="1">
      <alignment horizontal="left"/>
    </xf>
    <xf numFmtId="164" fontId="9" fillId="3" borderId="0" xfId="3" applyNumberFormat="1" applyFont="1" applyFill="1" applyAlignment="1">
      <alignment horizontal="center"/>
    </xf>
    <xf numFmtId="164" fontId="9" fillId="0" borderId="1" xfId="3" applyNumberFormat="1" applyFont="1" applyFill="1" applyBorder="1"/>
    <xf numFmtId="164" fontId="13" fillId="0" borderId="1" xfId="3" applyNumberFormat="1" applyFont="1" applyFill="1" applyBorder="1" applyAlignment="1">
      <alignment horizontal="left"/>
    </xf>
    <xf numFmtId="164" fontId="9" fillId="0" borderId="1" xfId="3" applyNumberFormat="1" applyFont="1" applyFill="1" applyBorder="1" applyAlignment="1">
      <alignment horizontal="center"/>
    </xf>
    <xf numFmtId="0" fontId="23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5" fillId="3" borderId="0" xfId="0" applyFont="1" applyFill="1"/>
    <xf numFmtId="0" fontId="10" fillId="3" borderId="0" xfId="0" applyFont="1" applyFill="1" applyAlignment="1">
      <alignment horizontal="left" indent="1"/>
    </xf>
    <xf numFmtId="0" fontId="10" fillId="3" borderId="0" xfId="0" applyFont="1" applyFill="1"/>
    <xf numFmtId="0" fontId="24" fillId="0" borderId="0" xfId="0" applyFont="1"/>
    <xf numFmtId="0" fontId="25" fillId="0" borderId="0" xfId="0" applyFont="1"/>
    <xf numFmtId="3" fontId="15" fillId="3" borderId="0" xfId="0" applyNumberFormat="1" applyFont="1" applyFill="1" applyAlignment="1">
      <alignment horizontal="center"/>
    </xf>
    <xf numFmtId="3" fontId="15" fillId="0" borderId="0" xfId="0" applyNumberFormat="1" applyFont="1" applyAlignment="1">
      <alignment horizontal="center"/>
    </xf>
    <xf numFmtId="0" fontId="15" fillId="3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3" fontId="24" fillId="0" borderId="0" xfId="0" applyNumberFormat="1" applyFont="1" applyAlignment="1">
      <alignment horizontal="center"/>
    </xf>
    <xf numFmtId="164" fontId="15" fillId="0" borderId="0" xfId="3" applyNumberFormat="1" applyFont="1"/>
    <xf numFmtId="164" fontId="15" fillId="4" borderId="0" xfId="3" applyNumberFormat="1" applyFont="1" applyFill="1"/>
    <xf numFmtId="164" fontId="1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left" indent="1"/>
    </xf>
    <xf numFmtId="3" fontId="13" fillId="0" borderId="0" xfId="0" applyNumberFormat="1" applyFont="1" applyAlignment="1">
      <alignment horizontal="left" indent="2"/>
    </xf>
    <xf numFmtId="165" fontId="11" fillId="2" borderId="0" xfId="0" applyNumberFormat="1" applyFont="1" applyFill="1" applyAlignment="1">
      <alignment horizontal="center"/>
    </xf>
    <xf numFmtId="164" fontId="11" fillId="2" borderId="0" xfId="3" applyNumberFormat="1" applyFont="1" applyFill="1" applyAlignment="1">
      <alignment horizontal="center"/>
    </xf>
    <xf numFmtId="1" fontId="11" fillId="2" borderId="7" xfId="0" applyNumberFormat="1" applyFont="1" applyFill="1" applyBorder="1" applyAlignment="1">
      <alignment horizontal="center"/>
    </xf>
    <xf numFmtId="0" fontId="9" fillId="0" borderId="8" xfId="0" applyFont="1" applyBorder="1"/>
    <xf numFmtId="0" fontId="14" fillId="2" borderId="0" xfId="0" applyFont="1" applyFill="1"/>
    <xf numFmtId="43" fontId="12" fillId="0" borderId="0" xfId="99" applyFont="1" applyAlignment="1">
      <alignment horizontal="center"/>
    </xf>
    <xf numFmtId="169" fontId="26" fillId="4" borderId="0" xfId="0" applyNumberFormat="1" applyFont="1" applyFill="1" applyAlignment="1">
      <alignment horizontal="center" vertical="center"/>
    </xf>
    <xf numFmtId="169" fontId="26" fillId="3" borderId="0" xfId="0" applyNumberFormat="1" applyFont="1" applyFill="1" applyAlignment="1">
      <alignment horizontal="center" vertical="center"/>
    </xf>
    <xf numFmtId="3" fontId="12" fillId="3" borderId="0" xfId="0" applyNumberFormat="1" applyFont="1" applyFill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3" fillId="3" borderId="0" xfId="0" applyNumberFormat="1" applyFont="1" applyFill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164" fontId="13" fillId="4" borderId="0" xfId="3" applyNumberFormat="1" applyFont="1" applyFill="1" applyAlignment="1">
      <alignment horizontal="center" vertical="center"/>
    </xf>
    <xf numFmtId="164" fontId="13" fillId="3" borderId="0" xfId="3" applyNumberFormat="1" applyFont="1" applyFill="1" applyAlignment="1">
      <alignment horizontal="center" vertical="center"/>
    </xf>
    <xf numFmtId="164" fontId="13" fillId="3" borderId="1" xfId="3" applyNumberFormat="1" applyFont="1" applyFill="1" applyBorder="1" applyAlignment="1">
      <alignment horizontal="center" vertical="center"/>
    </xf>
    <xf numFmtId="3" fontId="12" fillId="4" borderId="0" xfId="0" applyNumberFormat="1" applyFont="1" applyFill="1" applyAlignment="1">
      <alignment horizontal="center" vertical="center"/>
    </xf>
    <xf numFmtId="3" fontId="13" fillId="4" borderId="0" xfId="0" applyNumberFormat="1" applyFont="1" applyFill="1" applyAlignment="1">
      <alignment horizontal="center" vertical="center"/>
    </xf>
    <xf numFmtId="165" fontId="13" fillId="3" borderId="0" xfId="0" applyNumberFormat="1" applyFont="1" applyFill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1" fontId="15" fillId="3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15" fillId="3" borderId="0" xfId="0" applyNumberFormat="1" applyFont="1" applyFill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171" fontId="15" fillId="3" borderId="0" xfId="0" applyNumberFormat="1" applyFont="1" applyFill="1" applyAlignment="1">
      <alignment horizontal="center" vertical="center"/>
    </xf>
    <xf numFmtId="43" fontId="15" fillId="3" borderId="0" xfId="0" applyNumberFormat="1" applyFont="1" applyFill="1" applyAlignment="1">
      <alignment horizontal="center" vertical="center"/>
    </xf>
    <xf numFmtId="171" fontId="15" fillId="0" borderId="0" xfId="0" applyNumberFormat="1" applyFont="1" applyAlignment="1">
      <alignment horizontal="center" vertical="center"/>
    </xf>
    <xf numFmtId="14" fontId="11" fillId="2" borderId="0" xfId="0" applyNumberFormat="1" applyFont="1" applyFill="1" applyAlignment="1">
      <alignment horizontal="center"/>
    </xf>
    <xf numFmtId="3" fontId="17" fillId="4" borderId="0" xfId="0" applyNumberFormat="1" applyFont="1" applyFill="1" applyAlignment="1">
      <alignment horizontal="center" vertical="center"/>
    </xf>
    <xf numFmtId="170" fontId="9" fillId="0" borderId="0" xfId="0" applyNumberFormat="1" applyFont="1" applyAlignment="1">
      <alignment horizontal="center"/>
    </xf>
    <xf numFmtId="164" fontId="13" fillId="4" borderId="0" xfId="3" applyNumberFormat="1" applyFont="1" applyFill="1" applyAlignment="1">
      <alignment horizontal="center"/>
    </xf>
    <xf numFmtId="164" fontId="13" fillId="3" borderId="0" xfId="3" applyNumberFormat="1" applyFont="1" applyFill="1" applyAlignment="1">
      <alignment horizontal="center"/>
    </xf>
    <xf numFmtId="164" fontId="13" fillId="3" borderId="1" xfId="3" applyNumberFormat="1" applyFont="1" applyFill="1" applyBorder="1" applyAlignment="1">
      <alignment horizontal="center"/>
    </xf>
    <xf numFmtId="165" fontId="9" fillId="4" borderId="0" xfId="1" applyNumberFormat="1" applyFont="1" applyFill="1" applyBorder="1" applyAlignment="1">
      <alignment horizontal="right"/>
    </xf>
    <xf numFmtId="165" fontId="9" fillId="4" borderId="0" xfId="1" applyNumberFormat="1" applyFont="1" applyFill="1" applyBorder="1"/>
    <xf numFmtId="171" fontId="15" fillId="3" borderId="0" xfId="0" applyNumberFormat="1" applyFont="1" applyFill="1" applyAlignment="1">
      <alignment horizontal="right" vertical="center"/>
    </xf>
    <xf numFmtId="0" fontId="15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/>
    </xf>
    <xf numFmtId="9" fontId="18" fillId="4" borderId="2" xfId="1" applyNumberFormat="1" applyFont="1" applyFill="1" applyBorder="1" applyAlignment="1">
      <alignment horizontal="right"/>
    </xf>
    <xf numFmtId="0" fontId="18" fillId="4" borderId="2" xfId="1" applyNumberFormat="1" applyFont="1" applyFill="1" applyBorder="1" applyAlignment="1">
      <alignment horizontal="right"/>
    </xf>
    <xf numFmtId="169" fontId="27" fillId="6" borderId="0" xfId="99" applyNumberFormat="1" applyFont="1" applyFill="1" applyBorder="1" applyAlignment="1">
      <alignment horizontal="center" vertical="center" wrapText="1"/>
    </xf>
  </cellXfs>
  <cellStyles count="100">
    <cellStyle name="Cancel 10" xfId="54" xr:uid="{D776F22E-F4E0-47BB-B59B-39AC87968C4A}"/>
    <cellStyle name="Comma 10 2" xfId="56" xr:uid="{BADA1FB0-B612-4035-9C7C-5D3AF2FFCB4B}"/>
    <cellStyle name="Comma 10 2 3" xfId="37" xr:uid="{49E0B700-20DA-47DB-B763-3A8AD74C42C6}"/>
    <cellStyle name="Comma 10 2 3 2" xfId="47" xr:uid="{60A6892B-4A90-40D4-AAC9-9DA488F6A8D3}"/>
    <cellStyle name="Comma 10 2 3 2 2" xfId="89" xr:uid="{8471BC16-58CF-48F4-BA0A-5D939357C695}"/>
    <cellStyle name="Comma 10 2 3 3" xfId="80" xr:uid="{F7E91D67-3347-4728-A846-373E1CF47DAF}"/>
    <cellStyle name="Comma 2" xfId="7" xr:uid="{728FA033-3CA9-4266-9823-7FECB4FB4763}"/>
    <cellStyle name="Comma 2 2" xfId="12" xr:uid="{A2409B8C-5C3D-4E2A-8BA6-CB3481AA7FB0}"/>
    <cellStyle name="Comma 2 2 2" xfId="16" xr:uid="{9713C195-CF55-474C-8C29-1CA6EC6D82B5}"/>
    <cellStyle name="Comma 2 2 2 2" xfId="26" xr:uid="{D5863F82-A698-4FE4-ACA4-31B6D21FD86C}"/>
    <cellStyle name="Comma 2 2 2 2 2" xfId="72" xr:uid="{4E974B3F-E73A-4622-A5BC-2B7B03779951}"/>
    <cellStyle name="Comma 2 2 2 3" xfId="46" xr:uid="{6304385B-8CD1-4FFD-8DEA-7C4B29266503}"/>
    <cellStyle name="Comma 2 2 2 3 2" xfId="88" xr:uid="{A18CA3F3-C159-45AB-B0BA-B11639EC1380}"/>
    <cellStyle name="Comma 2 2 2 4" xfId="63" xr:uid="{7D7EFC3F-3FB2-4E7E-BC97-81C1AE697615}"/>
    <cellStyle name="Comma 2 2 3" xfId="22" xr:uid="{BBC10F7A-B629-4E67-98B1-31496115765D}"/>
    <cellStyle name="Comma 2 2 3 2" xfId="68" xr:uid="{A7E5D405-3D14-4AE3-8158-EF953F6675BB}"/>
    <cellStyle name="Comma 2 2 4" xfId="36" xr:uid="{F90D28C1-ECAA-4602-A5B9-9C42C151C56F}"/>
    <cellStyle name="Comma 2 2 4 2" xfId="79" xr:uid="{09950236-6843-407D-9171-3A8C75AA1BFE}"/>
    <cellStyle name="Comma 2 2 5" xfId="39" xr:uid="{4A579B84-D55F-4ADC-9AF3-0DBCC78AE010}"/>
    <cellStyle name="Comma 2 2 5 2" xfId="49" xr:uid="{C0928529-49BB-4618-9692-33AA129089D1}"/>
    <cellStyle name="Comma 2 2 5 2 2" xfId="91" xr:uid="{0B0F83F7-05FF-47C4-B088-B109B9C41FED}"/>
    <cellStyle name="Comma 2 2 5 3" xfId="82" xr:uid="{BE94504E-472A-413E-82E1-2F77AD21843C}"/>
    <cellStyle name="Comma 2 2 6" xfId="59" xr:uid="{B25943AA-734E-4CF9-BC17-264F93CB10E2}"/>
    <cellStyle name="Comma 2 3" xfId="13" xr:uid="{BC862F4B-8111-4C54-9510-03A396119A34}"/>
    <cellStyle name="Comma 2 3 2" xfId="17" xr:uid="{DD069A3D-2866-4DBC-9594-5DC079AA99C8}"/>
    <cellStyle name="Comma 2 3 2 2" xfId="27" xr:uid="{4036DF48-C5A9-49BC-9AA0-5F5DA112C26B}"/>
    <cellStyle name="Comma 2 3 2 2 2" xfId="73" xr:uid="{E2E29A8D-8C07-42EA-A06E-0D6CB8F7245D}"/>
    <cellStyle name="Comma 2 3 2 3" xfId="64" xr:uid="{A36BD02B-0C48-4D9C-9978-D4AA5ED06D69}"/>
    <cellStyle name="Comma 2 3 3" xfId="23" xr:uid="{EAD48738-7D73-4BCF-8576-2194F4742F55}"/>
    <cellStyle name="Comma 2 3 3 2" xfId="69" xr:uid="{D428CC45-C757-49D6-B142-B4B203485C12}"/>
    <cellStyle name="Comma 2 3 4" xfId="48" xr:uid="{533F284D-29F4-42F1-9BB9-BA4010AABE2B}"/>
    <cellStyle name="Comma 2 3 4 2" xfId="90" xr:uid="{F213E7E4-FA78-47EC-A9EF-F34FA414EE76}"/>
    <cellStyle name="Comma 2 3 5" xfId="60" xr:uid="{D9C3C0E5-B029-44D6-AFDA-992F636825DD}"/>
    <cellStyle name="Comma 2 4" xfId="14" xr:uid="{388FC591-FFE0-4B0F-A511-F284AFA1CF7E}"/>
    <cellStyle name="Comma 2 4 2" xfId="24" xr:uid="{B7E7A299-D594-4B1F-914F-DC82F1C47054}"/>
    <cellStyle name="Comma 2 4 2 2" xfId="70" xr:uid="{70EEBE1A-8BD1-4699-A1B5-DE516B73411B}"/>
    <cellStyle name="Comma 2 4 3" xfId="61" xr:uid="{39231134-71F0-4E33-921F-7A46C3A5F06A}"/>
    <cellStyle name="Comma 2 5" xfId="20" xr:uid="{C81A9B7D-9033-46C0-B461-9A38AD4ECA8F}"/>
    <cellStyle name="Comma 2 5 2" xfId="66" xr:uid="{F0F5A07E-4CBE-4ADE-A9DC-B12DF98924F7}"/>
    <cellStyle name="Comma 2 6" xfId="38" xr:uid="{366FE327-D9A1-4B18-805F-B699F16BE6BF}"/>
    <cellStyle name="Comma 2 6 2" xfId="81" xr:uid="{148E000B-D561-4A0C-8ABC-23E34B9F35D4}"/>
    <cellStyle name="Comma 2 7" xfId="57" xr:uid="{077D7656-897D-4BF3-A86B-8516C29F6ED9}"/>
    <cellStyle name="Comma 3" xfId="11" xr:uid="{84F0E776-CE1C-48ED-86AB-A85582DE7309}"/>
    <cellStyle name="Comma 3 2" xfId="15" xr:uid="{0B9B4D47-1413-4E85-BE70-AC4F661AA37F}"/>
    <cellStyle name="Comma 3 2 2" xfId="25" xr:uid="{AC751E04-41B1-4A69-9E61-A6CD938DA164}"/>
    <cellStyle name="Comma 3 2 2 2" xfId="71" xr:uid="{ECFE5E40-B529-4D86-ACF8-CDB2922363B0}"/>
    <cellStyle name="Comma 3 2 3" xfId="50" xr:uid="{A5DFFCAA-12A8-4F1F-964B-8E7324082608}"/>
    <cellStyle name="Comma 3 2 3 2" xfId="92" xr:uid="{FC78C363-79BA-4ECB-A51A-B6A06EF87CF8}"/>
    <cellStyle name="Comma 3 2 4" xfId="62" xr:uid="{45587729-8C54-4959-A8AE-10FD3A2A2A9E}"/>
    <cellStyle name="Comma 3 3" xfId="21" xr:uid="{CDC7E7AC-3F50-4B2E-A28E-CAB0EFFD2FC3}"/>
    <cellStyle name="Comma 3 3 2" xfId="67" xr:uid="{2C14D314-7311-40EA-90C8-CF746BCFFB16}"/>
    <cellStyle name="Comma 3 4" xfId="40" xr:uid="{7C3A5D11-6331-4D1E-94EA-C284A61A808F}"/>
    <cellStyle name="Comma 3 4 2" xfId="83" xr:uid="{C5E405FD-7643-4ED0-9F68-CF10032F8C27}"/>
    <cellStyle name="Comma 3 5" xfId="58" xr:uid="{7CA53763-1FBC-447A-9995-E277BA1F4470}"/>
    <cellStyle name="Comma 4" xfId="19" xr:uid="{6818B4A3-01AE-4300-B39A-96ED62E579B6}"/>
    <cellStyle name="Comma 4 2" xfId="28" xr:uid="{4B724853-F6DB-480B-9A8C-944CEC70FA2A}"/>
    <cellStyle name="Comma 4 2 2" xfId="74" xr:uid="{6CBDDA97-5A58-4492-BD9C-BB5A221524CB}"/>
    <cellStyle name="Comma 4 3" xfId="65" xr:uid="{0F7032A3-8285-480E-BD16-0E335D3D1A14}"/>
    <cellStyle name="Comma 5" xfId="30" xr:uid="{24624859-DC79-450B-9350-10CBC751349D}"/>
    <cellStyle name="Comma 5 2" xfId="76" xr:uid="{24CA137C-0603-4951-A308-47160B7E9B4E}"/>
    <cellStyle name="Comma 6" xfId="31" xr:uid="{C429CF31-0264-4D6A-8FDB-A49B4081DCB2}"/>
    <cellStyle name="Comma 6 2" xfId="77" xr:uid="{C50A8E6F-091E-4EF4-BED1-F2E97C70A7FE}"/>
    <cellStyle name="Comma 7" xfId="55" xr:uid="{2EAA8515-E837-4EC9-98C8-5322A2DEFC22}"/>
    <cellStyle name="Comma 7 2" xfId="95" xr:uid="{4AF58E91-801E-4D2A-980F-20D74E96EAC9}"/>
    <cellStyle name="Comma 79" xfId="33" xr:uid="{93282436-9999-4100-9D20-B0EE2D106684}"/>
    <cellStyle name="Comma 79 2" xfId="45" xr:uid="{45248FC2-4015-40AD-AA94-9068B80D7CD8}"/>
    <cellStyle name="Comma 79 2 2" xfId="87" xr:uid="{A5A819B1-0428-4EDE-A38B-AF181975FDAB}"/>
    <cellStyle name="Comma 79 3" xfId="78" xr:uid="{BA3992A0-3383-4F58-9B06-70CBC4AE9146}"/>
    <cellStyle name="Normal" xfId="0" builtinId="0"/>
    <cellStyle name="Normal - Style1" xfId="41" xr:uid="{A05515CE-DB74-4DB9-8589-EF9FF1156DB6}"/>
    <cellStyle name="Normal - Style1 3" xfId="8" xr:uid="{51C93FA4-0AB6-4A27-AD42-C9B0EDB8E8EB}"/>
    <cellStyle name="Normal 135" xfId="34" xr:uid="{E02E02B2-2199-4990-B38B-C51595B12F30}"/>
    <cellStyle name="Normal 2" xfId="5" xr:uid="{FB0B16D9-DE41-402B-9444-8AC79F5A5E77}"/>
    <cellStyle name="Normal 2 10 10" xfId="18" xr:uid="{580A81A1-E61A-4980-80A1-C89D85F5C575}"/>
    <cellStyle name="Normal 2 12 3" xfId="10" xr:uid="{03923CDA-39EA-42AF-A2BB-A94B5D4C1284}"/>
    <cellStyle name="Normal 2 2" xfId="32" xr:uid="{C3A4B1E7-288B-4E4D-BA33-34D06B45C1CC}"/>
    <cellStyle name="Normal 29" xfId="35" xr:uid="{041356A8-738C-47E1-9DEA-DE5A9F3B1CB7}"/>
    <cellStyle name="Normal 3" xfId="96" xr:uid="{72AB7EF4-13D4-45E3-BC44-94B98F205888}"/>
    <cellStyle name="Normal 3 4 2" xfId="9" xr:uid="{BEA51419-554D-4D9B-8DC5-7988B314FE61}"/>
    <cellStyle name="Normal 4" xfId="53" xr:uid="{C5BD12FA-0AF7-4AF1-A0F5-CB682A0DA54D}"/>
    <cellStyle name="Normal 6" xfId="98" xr:uid="{7B10451F-64BF-4DCA-9718-64FFBBF5CC6D}"/>
    <cellStyle name="Porcentagem" xfId="3" builtinId="5"/>
    <cellStyle name="Porcentagem 2" xfId="2" xr:uid="{FB0EA298-BC9B-4F34-9A18-AAEAFDB5E2C6}"/>
    <cellStyle name="Vírgula" xfId="99" builtinId="3"/>
    <cellStyle name="Vírgula 2" xfId="1" xr:uid="{3243FEC7-A1A3-41B6-8BC7-492D34633986}"/>
    <cellStyle name="Vírgula 2 2" xfId="86" xr:uid="{8873D99A-9494-4BE6-8FB1-AF8DB5DD3324}"/>
    <cellStyle name="Vírgula 2 3" xfId="44" xr:uid="{18C24CC4-BF86-45FD-AD32-891B2B058E54}"/>
    <cellStyle name="Vírgula 2 5" xfId="29" xr:uid="{A11C0E0E-4546-4C9E-95BA-9786D453F971}"/>
    <cellStyle name="Vírgula 2 5 2" xfId="43" xr:uid="{5B8AFB87-E77B-4C42-A5CE-3862D5BAECF6}"/>
    <cellStyle name="Vírgula 2 5 2 2" xfId="85" xr:uid="{13BB79AF-EF7C-4277-8D10-02FE3947EFD8}"/>
    <cellStyle name="Vírgula 2 5 3" xfId="75" xr:uid="{121CE5DE-3D58-4E82-B160-7EBC255B48EF}"/>
    <cellStyle name="Vírgula 3" xfId="6" xr:uid="{B1274269-A3D2-431A-B907-E9B934D65FB8}"/>
    <cellStyle name="Vírgula 4" xfId="52" xr:uid="{007462EF-62D8-46C1-9716-639267FF35F2}"/>
    <cellStyle name="Vírgula 4 2" xfId="94" xr:uid="{6E736CF5-3744-411F-BE20-89034CFED89B}"/>
    <cellStyle name="Vírgula 5" xfId="97" xr:uid="{8A1BAFFE-76B6-4977-A31C-0CF7286F8787}"/>
    <cellStyle name="Vírgula 6" xfId="4" xr:uid="{745F67A2-DF42-46A2-91C4-9BFA4007F868}"/>
    <cellStyle name="Vírgula 7" xfId="42" xr:uid="{5D277D1C-DBDE-48EB-81EE-51619F7E1B98}"/>
    <cellStyle name="Vírgula 7 2" xfId="51" xr:uid="{D7782389-B64D-4C74-9565-656BA6FC0406}"/>
    <cellStyle name="Vírgula 7 2 2" xfId="93" xr:uid="{D7B85E80-C9DA-4663-8370-AFB642908769}"/>
    <cellStyle name="Vírgula 7 3" xfId="84" xr:uid="{FD9A896E-9E1F-46FE-B81B-86C6097EAC9C}"/>
  </cellStyles>
  <dxfs count="0"/>
  <tableStyles count="0" defaultTableStyle="TableStyleMedium2" defaultPivotStyle="PivotStyleLight16"/>
  <colors>
    <mruColors>
      <color rgb="FF566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powerPivotData" Target="model/item.data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3582164</xdr:colOff>
      <xdr:row>4</xdr:row>
      <xdr:rowOff>114605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825ACF60-4F0F-4412-AB9C-146ACAAE3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2875" y="0"/>
          <a:ext cx="3582164" cy="610506"/>
        </a:xfrm>
        <a:prstGeom prst="rect">
          <a:avLst/>
        </a:prstGeom>
      </xdr:spPr>
    </xdr:pic>
    <xdr:clientData/>
  </xdr:twoCellAnchor>
  <xdr:twoCellAnchor>
    <xdr:from>
      <xdr:col>7</xdr:col>
      <xdr:colOff>619125</xdr:colOff>
      <xdr:row>1</xdr:row>
      <xdr:rowOff>23810</xdr:rowOff>
    </xdr:from>
    <xdr:to>
      <xdr:col>27</xdr:col>
      <xdr:colOff>428624</xdr:colOff>
      <xdr:row>4</xdr:row>
      <xdr:rowOff>11905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F36E61-3FB2-28B4-45BF-4D4C1F311608}"/>
            </a:ext>
          </a:extLst>
        </xdr:cNvPr>
        <xdr:cNvSpPr txBox="1"/>
      </xdr:nvSpPr>
      <xdr:spPr>
        <a:xfrm>
          <a:off x="10703719" y="190498"/>
          <a:ext cx="13001624" cy="488157"/>
        </a:xfrm>
        <a:prstGeom prst="rect">
          <a:avLst/>
        </a:prstGeom>
        <a:solidFill>
          <a:srgbClr val="566655"/>
        </a:solidFill>
        <a:ln w="28575" cmpd="sng">
          <a:solidFill>
            <a:schemeClr val="bg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No 2T25 a Companhia adotou uma nova segmentação</a:t>
          </a:r>
          <a:r>
            <a:rPr lang="en-US" sz="1100" b="1" baseline="0">
              <a:solidFill>
                <a:schemeClr val="bg1"/>
              </a:solidFill>
            </a:rPr>
            <a:t> de Receita Líquida, Custos e Lucro Bruto. </a:t>
          </a:r>
          <a:r>
            <a:rPr lang="en-US" sz="1100" b="1">
              <a:solidFill>
                <a:schemeClr val="bg1"/>
              </a:solidFill>
            </a:rPr>
            <a:t>A</a:t>
          </a:r>
          <a:r>
            <a:rPr lang="en-US" sz="1100" b="1" baseline="0">
              <a:solidFill>
                <a:schemeClr val="bg1"/>
              </a:solidFill>
            </a:rPr>
            <a:t> segmentação antiga será divulgada nos próximos trimestres, porém descontinuada em breve.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208726</xdr:colOff>
      <xdr:row>3</xdr:row>
      <xdr:rowOff>115206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0724C6F4-39FC-41F6-9D98-EFC18D135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2875" y="0"/>
          <a:ext cx="3578989" cy="6105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133347</xdr:colOff>
      <xdr:row>0</xdr:row>
      <xdr:rowOff>0</xdr:rowOff>
    </xdr:from>
    <xdr:to>
      <xdr:col>2</xdr:col>
      <xdr:colOff>65848</xdr:colOff>
      <xdr:row>3</xdr:row>
      <xdr:rowOff>122010</xdr:rowOff>
    </xdr:to>
    <xdr:pic>
      <xdr:nvPicPr>
        <xdr:cNvPr id="21" name="Gráfico 20">
          <a:extLst>
            <a:ext uri="{FF2B5EF4-FFF2-40B4-BE49-F238E27FC236}">
              <a16:creationId xmlns:a16="http://schemas.microsoft.com/office/drawing/2014/main" id="{5DD6D627-18D0-442F-B1C5-4EC6EB29D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347" y="0"/>
          <a:ext cx="3578989" cy="6001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4T25/Base%20release_ORVR%204T25%20BP.xlsm" TargetMode="External"/><Relationship Id="rId2" Type="http://schemas.openxmlformats.org/officeDocument/2006/relationships/externalLinkPath" Target="file:///X:\DIVULGA&#199;&#213;ES%20TRIMESTRAIS\2025\4T25\Base%20release_ORVR%204T25%20BP.xlsm" TargetMode="External"/><Relationship Id="rId1" Type="http://schemas.openxmlformats.org/officeDocument/2006/relationships/externalLinkPath" Target="/DIVULGA&#199;&#213;ES%20TRIMESTRAIS/2025/4T25/Base%20release_ORVR%204T25%20BP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4T25/Recebidos%20Controladoria/CAPEX%204T2025.xlsx" TargetMode="External"/><Relationship Id="rId2" Type="http://schemas.openxmlformats.org/officeDocument/2006/relationships/externalLinkPath" Target="file:///X:\DIVULGA&#199;&#213;ES%20TRIMESTRAIS\2025\4T25\Recebidos%20Controladoria\CAPEX%204T2025.xlsx" TargetMode="External"/><Relationship Id="rId1" Type="http://schemas.openxmlformats.org/officeDocument/2006/relationships/externalLinkPath" Target="/DIVULGA&#199;&#213;ES%20TRIMESTRAIS/2025/4T25/Recebidos%20Controladoria/CAPEX%204T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trole"/>
      <sheetName val="Destaques"/>
      <sheetName val="BP"/>
      <sheetName val="DRE"/>
      <sheetName val="ROL"/>
      <sheetName val="CUSTOS E DESPESAS"/>
      <sheetName val="EBITDA e Mg Bruta"/>
      <sheetName val="DÍVIDA"/>
      <sheetName val="RESULTADO FINANCEIRO"/>
      <sheetName val="VOLUMES NOVA"/>
      <sheetName val="CAPEX"/>
      <sheetName val="RESULTADO LÍQUIDO"/>
      <sheetName val="ORVR3 preço"/>
      <sheetName val="Gráficos"/>
      <sheetName val="Ativos"/>
      <sheetName val="Projeções"/>
      <sheetName val="Backup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23420.295590000955</v>
          </cell>
        </row>
        <row r="6">
          <cell r="C6">
            <v>5759</v>
          </cell>
        </row>
        <row r="7">
          <cell r="C7">
            <v>55437</v>
          </cell>
        </row>
        <row r="8">
          <cell r="C8">
            <v>49395.3</v>
          </cell>
        </row>
      </sheetData>
      <sheetData sheetId="7">
        <row r="21">
          <cell r="C21">
            <v>2647</v>
          </cell>
        </row>
      </sheetData>
      <sheetData sheetId="8"/>
      <sheetData sheetId="9"/>
      <sheetData sheetId="10">
        <row r="7">
          <cell r="C7">
            <v>12083.263340000021</v>
          </cell>
          <cell r="D7">
            <v>21358.093669999998</v>
          </cell>
          <cell r="G7">
            <v>56589.26334000002</v>
          </cell>
          <cell r="H7">
            <v>85222.093670000002</v>
          </cell>
          <cell r="I7">
            <v>141811.35701000004</v>
          </cell>
        </row>
        <row r="8">
          <cell r="C8">
            <v>114434.40534999996</v>
          </cell>
          <cell r="D8">
            <v>0</v>
          </cell>
          <cell r="G8">
            <v>137333.40534999996</v>
          </cell>
          <cell r="H8">
            <v>156</v>
          </cell>
          <cell r="I8">
            <v>137489.40534999996</v>
          </cell>
        </row>
        <row r="9">
          <cell r="C9">
            <v>5121.8693799999992</v>
          </cell>
          <cell r="D9">
            <v>2266.3682600000002</v>
          </cell>
          <cell r="G9">
            <v>54212.869379999996</v>
          </cell>
          <cell r="H9">
            <v>2356.3682600000002</v>
          </cell>
          <cell r="I9">
            <v>56569.237639999999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sumo"/>
      <sheetName val="2T2025"/>
      <sheetName val="1T2025"/>
    </sheetNames>
    <sheetDataSet>
      <sheetData sheetId="0">
        <row r="2">
          <cell r="D2">
            <v>33441.357010000022</v>
          </cell>
        </row>
        <row r="3">
          <cell r="D3">
            <v>114434.40534999996</v>
          </cell>
        </row>
        <row r="4">
          <cell r="D4">
            <v>7388.2376399999994</v>
          </cell>
        </row>
        <row r="14">
          <cell r="C14">
            <v>21358.093669999998</v>
          </cell>
        </row>
        <row r="16">
          <cell r="C16">
            <v>2266.3682600000002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D615A-86D7-4A0B-8A57-4BB12B200A56}">
  <dimension ref="A1:AI133"/>
  <sheetViews>
    <sheetView showGridLines="0" zoomScale="110" zoomScaleNormal="110" workbookViewId="0">
      <pane xSplit="3" ySplit="7" topLeftCell="AE8" activePane="bottomRight" state="frozen"/>
      <selection pane="topRight" activeCell="D1" sqref="D1"/>
      <selection pane="bottomLeft" activeCell="A8" sqref="A8"/>
      <selection pane="bottomRight" activeCell="AM13" sqref="AM13"/>
    </sheetView>
  </sheetViews>
  <sheetFormatPr defaultColWidth="7.81640625" defaultRowHeight="14" x14ac:dyDescent="0.35"/>
  <cols>
    <col min="1" max="1" width="1.81640625" style="27" bestFit="1" customWidth="1"/>
    <col min="2" max="2" width="58.81640625" style="28" customWidth="1"/>
    <col min="3" max="3" width="51.90625" style="28" bestFit="1" customWidth="1"/>
    <col min="4" max="4" width="10.1796875" style="152" bestFit="1" customWidth="1"/>
    <col min="5" max="7" width="8.81640625" style="152" hidden="1" customWidth="1"/>
    <col min="8" max="8" width="9.453125" style="152" hidden="1" customWidth="1"/>
    <col min="9" max="9" width="10.1796875" style="152" bestFit="1" customWidth="1"/>
    <col min="10" max="12" width="8.81640625" style="152" hidden="1" customWidth="1"/>
    <col min="13" max="13" width="9.453125" style="152" hidden="1" customWidth="1"/>
    <col min="14" max="14" width="10.1796875" style="152" bestFit="1" customWidth="1"/>
    <col min="15" max="15" width="8.81640625" style="152" hidden="1" customWidth="1"/>
    <col min="16" max="18" width="10.1796875" style="152" hidden="1" customWidth="1"/>
    <col min="19" max="19" width="10.1796875" style="152" bestFit="1" customWidth="1"/>
    <col min="20" max="23" width="10.1796875" style="152" hidden="1" customWidth="1"/>
    <col min="24" max="24" width="10.1796875" style="152" customWidth="1"/>
    <col min="25" max="25" width="12" style="150" hidden="1" customWidth="1"/>
    <col min="26" max="27" width="10.1796875" style="152" hidden="1" customWidth="1"/>
    <col min="28" max="28" width="2.08984375" style="152" customWidth="1"/>
    <col min="29" max="29" width="10.1796875" style="152" bestFit="1" customWidth="1"/>
    <col min="30" max="31" width="10.1796875" style="152" hidden="1" customWidth="1"/>
    <col min="32" max="32" width="10.90625" style="152" hidden="1" customWidth="1"/>
    <col min="33" max="33" width="10.453125" style="152" hidden="1" customWidth="1"/>
    <col min="34" max="35" width="10.1796875" style="152" customWidth="1"/>
    <col min="36" max="16384" width="7.81640625" style="152"/>
  </cols>
  <sheetData>
    <row r="1" spans="1:35" s="2" customFormat="1" x14ac:dyDescent="0.35">
      <c r="B1" s="3"/>
      <c r="F1" s="4"/>
      <c r="G1" s="4"/>
      <c r="I1" s="4"/>
      <c r="Y1" s="4"/>
    </row>
    <row r="2" spans="1:35" s="2" customFormat="1" ht="12.5" customHeight="1" x14ac:dyDescent="0.35">
      <c r="B2" s="3"/>
      <c r="F2" s="4"/>
      <c r="G2" s="4"/>
      <c r="I2" s="4"/>
      <c r="Y2" s="4"/>
    </row>
    <row r="3" spans="1:35" s="2" customFormat="1" hidden="1" x14ac:dyDescent="0.35">
      <c r="B3" s="3"/>
      <c r="F3" s="4"/>
      <c r="G3" s="4"/>
      <c r="I3" s="4"/>
      <c r="Y3" s="4"/>
    </row>
    <row r="4" spans="1:35" s="2" customForma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35" s="2" customFormat="1" ht="13" x14ac:dyDescent="0.3">
      <c r="B5" s="104"/>
      <c r="F5" s="4"/>
      <c r="G5" s="4"/>
      <c r="I5" s="4"/>
      <c r="Y5" s="4"/>
    </row>
    <row r="6" spans="1:35" s="6" customFormat="1" ht="13" x14ac:dyDescent="0.3">
      <c r="A6" s="5"/>
      <c r="B6" s="5" t="s">
        <v>301</v>
      </c>
      <c r="C6" s="5" t="s">
        <v>302</v>
      </c>
      <c r="D6" s="6" t="s">
        <v>238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237</v>
      </c>
      <c r="J6" s="6" t="s">
        <v>7</v>
      </c>
      <c r="K6" s="6" t="s">
        <v>8</v>
      </c>
      <c r="L6" s="6" t="s">
        <v>9</v>
      </c>
      <c r="M6" s="6" t="s">
        <v>10</v>
      </c>
      <c r="N6" s="6" t="s">
        <v>239</v>
      </c>
      <c r="O6" s="6" t="s">
        <v>11</v>
      </c>
      <c r="P6" s="6" t="s">
        <v>12</v>
      </c>
      <c r="Q6" s="6" t="s">
        <v>13</v>
      </c>
      <c r="R6" s="6" t="s">
        <v>14</v>
      </c>
      <c r="S6" s="6" t="s">
        <v>240</v>
      </c>
      <c r="T6" s="6" t="s">
        <v>15</v>
      </c>
      <c r="U6" s="6" t="s">
        <v>16</v>
      </c>
      <c r="V6" s="6" t="s">
        <v>186</v>
      </c>
      <c r="W6" s="6" t="s">
        <v>210</v>
      </c>
      <c r="X6" s="6" t="s">
        <v>241</v>
      </c>
      <c r="Y6" s="7" t="s">
        <v>218</v>
      </c>
      <c r="Z6" s="7" t="s">
        <v>233</v>
      </c>
      <c r="AA6" s="6" t="s">
        <v>246</v>
      </c>
      <c r="AB6" s="6" t="s">
        <v>250</v>
      </c>
      <c r="AC6" s="6" t="s">
        <v>252</v>
      </c>
      <c r="AD6" s="6" t="s">
        <v>259</v>
      </c>
      <c r="AE6" s="6" t="s">
        <v>291</v>
      </c>
      <c r="AF6" s="6" t="s">
        <v>323</v>
      </c>
      <c r="AG6" s="6" t="s">
        <v>336</v>
      </c>
      <c r="AH6" s="6" t="s">
        <v>338</v>
      </c>
      <c r="AI6" s="6" t="s">
        <v>354</v>
      </c>
    </row>
    <row r="7" spans="1:35" s="6" customFormat="1" ht="13" x14ac:dyDescent="0.3">
      <c r="A7" s="5"/>
      <c r="B7" s="5" t="s">
        <v>303</v>
      </c>
      <c r="C7" s="5" t="s">
        <v>303</v>
      </c>
      <c r="D7" s="6" t="s">
        <v>238</v>
      </c>
      <c r="E7" s="6" t="s">
        <v>19</v>
      </c>
      <c r="F7" s="6" t="s">
        <v>20</v>
      </c>
      <c r="G7" s="6" t="s">
        <v>21</v>
      </c>
      <c r="H7" s="6" t="s">
        <v>22</v>
      </c>
      <c r="I7" s="6" t="s">
        <v>237</v>
      </c>
      <c r="J7" s="6" t="s">
        <v>23</v>
      </c>
      <c r="K7" s="6" t="s">
        <v>24</v>
      </c>
      <c r="L7" s="6" t="s">
        <v>25</v>
      </c>
      <c r="M7" s="6" t="s">
        <v>26</v>
      </c>
      <c r="N7" s="6" t="s">
        <v>239</v>
      </c>
      <c r="O7" s="6" t="s">
        <v>27</v>
      </c>
      <c r="P7" s="6" t="s">
        <v>28</v>
      </c>
      <c r="Q7" s="6" t="s">
        <v>29</v>
      </c>
      <c r="R7" s="6" t="s">
        <v>30</v>
      </c>
      <c r="S7" s="6" t="s">
        <v>240</v>
      </c>
      <c r="T7" s="6" t="s">
        <v>31</v>
      </c>
      <c r="U7" s="6" t="s">
        <v>32</v>
      </c>
      <c r="V7" s="6" t="s">
        <v>193</v>
      </c>
      <c r="W7" s="6" t="s">
        <v>211</v>
      </c>
      <c r="X7" s="6" t="s">
        <v>241</v>
      </c>
      <c r="Y7" s="7" t="s">
        <v>219</v>
      </c>
      <c r="Z7" s="7" t="s">
        <v>234</v>
      </c>
      <c r="AA7" s="6" t="s">
        <v>247</v>
      </c>
      <c r="AB7" s="6" t="s">
        <v>251</v>
      </c>
      <c r="AC7" s="6" t="s">
        <v>252</v>
      </c>
      <c r="AD7" s="6" t="s">
        <v>260</v>
      </c>
      <c r="AE7" s="6" t="s">
        <v>292</v>
      </c>
      <c r="AF7" s="6" t="s">
        <v>324</v>
      </c>
      <c r="AG7" s="6" t="s">
        <v>337</v>
      </c>
      <c r="AH7" s="6" t="s">
        <v>339</v>
      </c>
      <c r="AI7" s="6" t="s">
        <v>355</v>
      </c>
    </row>
    <row r="8" spans="1:35" s="106" customFormat="1" ht="13" x14ac:dyDescent="0.3">
      <c r="A8" s="105"/>
      <c r="B8" s="105"/>
      <c r="C8" s="105"/>
      <c r="Y8" s="107"/>
      <c r="Z8" s="107"/>
    </row>
    <row r="9" spans="1:35" s="106" customFormat="1" ht="13" x14ac:dyDescent="0.3">
      <c r="A9" s="105"/>
      <c r="B9" s="142" t="s">
        <v>299</v>
      </c>
      <c r="C9" s="142" t="s">
        <v>316</v>
      </c>
      <c r="Y9" s="107"/>
      <c r="Z9" s="107"/>
    </row>
    <row r="10" spans="1:35" s="6" customFormat="1" ht="13" x14ac:dyDescent="0.3">
      <c r="A10" s="5"/>
      <c r="B10" s="5" t="s">
        <v>1</v>
      </c>
      <c r="C10" s="5" t="s">
        <v>2</v>
      </c>
      <c r="D10" s="6" t="str">
        <f t="shared" ref="D10:AD10" si="0">+D$6</f>
        <v>2019 (FY)</v>
      </c>
      <c r="E10" s="6" t="str">
        <f t="shared" si="0"/>
        <v>1T20</v>
      </c>
      <c r="F10" s="6" t="str">
        <f t="shared" si="0"/>
        <v>2T20</v>
      </c>
      <c r="G10" s="6" t="str">
        <f t="shared" si="0"/>
        <v>3T20</v>
      </c>
      <c r="H10" s="6" t="str">
        <f t="shared" si="0"/>
        <v>4T20</v>
      </c>
      <c r="I10" s="6" t="str">
        <f t="shared" si="0"/>
        <v>2020 (FY)</v>
      </c>
      <c r="J10" s="6" t="str">
        <f t="shared" si="0"/>
        <v>1T21</v>
      </c>
      <c r="K10" s="6" t="str">
        <f t="shared" si="0"/>
        <v>2T21</v>
      </c>
      <c r="L10" s="6" t="str">
        <f t="shared" si="0"/>
        <v>3T21</v>
      </c>
      <c r="M10" s="6" t="str">
        <f t="shared" si="0"/>
        <v>4T21</v>
      </c>
      <c r="N10" s="6" t="str">
        <f t="shared" si="0"/>
        <v>2021 (FY)</v>
      </c>
      <c r="O10" s="6" t="str">
        <f t="shared" si="0"/>
        <v>1T22</v>
      </c>
      <c r="P10" s="6" t="str">
        <f t="shared" si="0"/>
        <v>2T22</v>
      </c>
      <c r="Q10" s="6" t="str">
        <f t="shared" si="0"/>
        <v>3T22</v>
      </c>
      <c r="R10" s="6" t="str">
        <f t="shared" si="0"/>
        <v>4T22</v>
      </c>
      <c r="S10" s="6" t="str">
        <f t="shared" si="0"/>
        <v>2022 (FY)</v>
      </c>
      <c r="T10" s="6" t="str">
        <f t="shared" si="0"/>
        <v>1T23</v>
      </c>
      <c r="U10" s="6" t="str">
        <f t="shared" si="0"/>
        <v>2T23</v>
      </c>
      <c r="V10" s="6" t="str">
        <f t="shared" si="0"/>
        <v>3T23</v>
      </c>
      <c r="W10" s="6" t="str">
        <f t="shared" si="0"/>
        <v>4T23</v>
      </c>
      <c r="X10" s="6" t="str">
        <f t="shared" si="0"/>
        <v>2023 (FY)</v>
      </c>
      <c r="Y10" s="6" t="str">
        <f t="shared" si="0"/>
        <v>1T24</v>
      </c>
      <c r="Z10" s="6" t="str">
        <f t="shared" si="0"/>
        <v>2T24</v>
      </c>
      <c r="AA10" s="6" t="str">
        <f t="shared" si="0"/>
        <v>3T24</v>
      </c>
      <c r="AB10" s="6" t="str">
        <f t="shared" si="0"/>
        <v>4T24</v>
      </c>
      <c r="AC10" s="6" t="str">
        <f t="shared" si="0"/>
        <v>2024 (FY)</v>
      </c>
      <c r="AD10" s="6" t="str">
        <f t="shared" si="0"/>
        <v>1T25</v>
      </c>
      <c r="AE10" s="6" t="str">
        <f>+AE$6</f>
        <v>2T25</v>
      </c>
      <c r="AF10" s="6" t="s">
        <v>323</v>
      </c>
      <c r="AG10" s="6" t="s">
        <v>336</v>
      </c>
      <c r="AH10" s="6" t="str">
        <f>+AH$6</f>
        <v>2025(FY)</v>
      </c>
      <c r="AI10" s="6" t="s">
        <v>354</v>
      </c>
    </row>
    <row r="11" spans="1:35" s="6" customFormat="1" ht="13" x14ac:dyDescent="0.3">
      <c r="A11" s="5"/>
      <c r="B11" s="5" t="s">
        <v>319</v>
      </c>
      <c r="C11" s="5" t="s">
        <v>318</v>
      </c>
      <c r="D11" s="6" t="str">
        <f t="shared" ref="D11:AD11" si="1">+D$7</f>
        <v>2019 (FY)</v>
      </c>
      <c r="E11" s="6" t="str">
        <f t="shared" si="1"/>
        <v>1Q20</v>
      </c>
      <c r="F11" s="6" t="str">
        <f t="shared" si="1"/>
        <v>2Q20</v>
      </c>
      <c r="G11" s="6" t="str">
        <f t="shared" si="1"/>
        <v>3Q20</v>
      </c>
      <c r="H11" s="6" t="str">
        <f t="shared" si="1"/>
        <v>4Q20</v>
      </c>
      <c r="I11" s="6" t="str">
        <f t="shared" si="1"/>
        <v>2020 (FY)</v>
      </c>
      <c r="J11" s="6" t="str">
        <f t="shared" si="1"/>
        <v>1Q21</v>
      </c>
      <c r="K11" s="6" t="str">
        <f t="shared" si="1"/>
        <v>2Q21</v>
      </c>
      <c r="L11" s="6" t="str">
        <f t="shared" si="1"/>
        <v>3Q21</v>
      </c>
      <c r="M11" s="6" t="str">
        <f t="shared" si="1"/>
        <v>4Q21</v>
      </c>
      <c r="N11" s="6" t="str">
        <f t="shared" si="1"/>
        <v>2021 (FY)</v>
      </c>
      <c r="O11" s="6" t="str">
        <f t="shared" si="1"/>
        <v>1Q22</v>
      </c>
      <c r="P11" s="6" t="str">
        <f t="shared" si="1"/>
        <v>2Q22</v>
      </c>
      <c r="Q11" s="6" t="str">
        <f t="shared" si="1"/>
        <v>3Q22</v>
      </c>
      <c r="R11" s="6" t="str">
        <f t="shared" si="1"/>
        <v>4Q22</v>
      </c>
      <c r="S11" s="6" t="str">
        <f t="shared" si="1"/>
        <v>2022 (FY)</v>
      </c>
      <c r="T11" s="6" t="str">
        <f t="shared" si="1"/>
        <v>1Q23</v>
      </c>
      <c r="U11" s="6" t="str">
        <f t="shared" si="1"/>
        <v>2Q23</v>
      </c>
      <c r="V11" s="6" t="str">
        <f t="shared" si="1"/>
        <v>3Q23</v>
      </c>
      <c r="W11" s="6" t="str">
        <f t="shared" si="1"/>
        <v>4Q23</v>
      </c>
      <c r="X11" s="6" t="str">
        <f t="shared" si="1"/>
        <v>2023 (FY)</v>
      </c>
      <c r="Y11" s="6" t="str">
        <f t="shared" si="1"/>
        <v>1Q24</v>
      </c>
      <c r="Z11" s="6" t="str">
        <f t="shared" si="1"/>
        <v>2Q24</v>
      </c>
      <c r="AA11" s="6" t="str">
        <f t="shared" si="1"/>
        <v>3Q24</v>
      </c>
      <c r="AB11" s="6" t="str">
        <f t="shared" si="1"/>
        <v>4Q24</v>
      </c>
      <c r="AC11" s="6" t="str">
        <f t="shared" si="1"/>
        <v>2024 (FY)</v>
      </c>
      <c r="AD11" s="6" t="str">
        <f t="shared" si="1"/>
        <v>1Q25</v>
      </c>
      <c r="AE11" s="6" t="str">
        <f>+AE$7</f>
        <v>2Q25</v>
      </c>
      <c r="AF11" s="6" t="s">
        <v>324</v>
      </c>
      <c r="AG11" s="6" t="s">
        <v>337</v>
      </c>
      <c r="AH11" s="6" t="str">
        <f t="shared" ref="AH11" si="2">+AH$7</f>
        <v>2025 (FY)</v>
      </c>
      <c r="AI11" s="6" t="s">
        <v>355</v>
      </c>
    </row>
    <row r="12" spans="1:35" s="9" customFormat="1" ht="13" x14ac:dyDescent="0.3">
      <c r="A12" s="8" t="s">
        <v>0</v>
      </c>
      <c r="B12" s="8" t="s">
        <v>33</v>
      </c>
      <c r="C12" s="8" t="s">
        <v>34</v>
      </c>
      <c r="D12" s="64">
        <v>348153</v>
      </c>
      <c r="E12" s="64">
        <v>91509</v>
      </c>
      <c r="F12" s="64">
        <v>99836</v>
      </c>
      <c r="G12" s="64">
        <v>97605</v>
      </c>
      <c r="H12" s="64">
        <v>103018</v>
      </c>
      <c r="I12" s="64">
        <v>391968</v>
      </c>
      <c r="J12" s="64">
        <v>87625</v>
      </c>
      <c r="K12" s="64">
        <v>92687</v>
      </c>
      <c r="L12" s="64">
        <v>99841</v>
      </c>
      <c r="M12" s="64">
        <v>155363</v>
      </c>
      <c r="N12" s="64">
        <v>435516</v>
      </c>
      <c r="O12" s="64">
        <v>99226</v>
      </c>
      <c r="P12" s="64">
        <v>150612</v>
      </c>
      <c r="Q12" s="64">
        <v>197177</v>
      </c>
      <c r="R12" s="64">
        <v>179209</v>
      </c>
      <c r="S12" s="64">
        <v>626224</v>
      </c>
      <c r="T12" s="64">
        <v>188845</v>
      </c>
      <c r="U12" s="64">
        <v>196245</v>
      </c>
      <c r="V12" s="64">
        <f>SUM(V13:V16)</f>
        <v>192599</v>
      </c>
      <c r="W12" s="64">
        <f>SUM(W13:W16)</f>
        <v>198587</v>
      </c>
      <c r="X12" s="64">
        <f>SUM(T12:W12)</f>
        <v>776276</v>
      </c>
      <c r="Y12" s="64">
        <f t="shared" ref="Y12:AD12" si="3">SUM(Y13:Y16)</f>
        <v>209146</v>
      </c>
      <c r="Z12" s="64">
        <f t="shared" si="3"/>
        <v>215047.28060000128</v>
      </c>
      <c r="AA12" s="64">
        <f t="shared" si="3"/>
        <v>249073.70840999871</v>
      </c>
      <c r="AB12" s="64">
        <f t="shared" si="3"/>
        <v>230206</v>
      </c>
      <c r="AC12" s="64">
        <f t="shared" ref="AC12:AC22" si="4">SUM(Y12:AB12)</f>
        <v>903472.98901000002</v>
      </c>
      <c r="AD12" s="64">
        <f t="shared" si="3"/>
        <v>240800</v>
      </c>
      <c r="AE12" s="64">
        <f>SUM(AE13:AE16)</f>
        <v>264181</v>
      </c>
      <c r="AF12" s="64">
        <f>SUM(AF13:AF16)</f>
        <v>281050</v>
      </c>
      <c r="AG12" s="64">
        <f>SUM(AG13:AG16)</f>
        <v>264308.82324000954</v>
      </c>
      <c r="AH12" s="176">
        <f t="shared" ref="AH12:AH22" si="5">SUM(AD12:AG12)</f>
        <v>1050339.8232400096</v>
      </c>
      <c r="AI12" s="176">
        <f>SUM(AI13:AI16)</f>
        <v>331075.81018000003</v>
      </c>
    </row>
    <row r="13" spans="1:35" s="12" customFormat="1" ht="13" x14ac:dyDescent="0.3">
      <c r="A13" s="10"/>
      <c r="B13" s="10" t="s">
        <v>213</v>
      </c>
      <c r="C13" s="10" t="s">
        <v>35</v>
      </c>
      <c r="D13" s="62">
        <v>241340</v>
      </c>
      <c r="E13" s="62">
        <v>58929</v>
      </c>
      <c r="F13" s="62">
        <v>63853</v>
      </c>
      <c r="G13" s="62">
        <v>64216</v>
      </c>
      <c r="H13" s="62">
        <v>60773</v>
      </c>
      <c r="I13" s="62">
        <v>247771</v>
      </c>
      <c r="J13" s="62">
        <v>62245</v>
      </c>
      <c r="K13" s="62">
        <v>62273</v>
      </c>
      <c r="L13" s="62">
        <v>63828</v>
      </c>
      <c r="M13" s="62">
        <v>78351</v>
      </c>
      <c r="N13" s="62">
        <v>266697</v>
      </c>
      <c r="O13" s="62">
        <v>75119</v>
      </c>
      <c r="P13" s="62">
        <v>121928</v>
      </c>
      <c r="Q13" s="62">
        <v>154009</v>
      </c>
      <c r="R13" s="62">
        <v>140740</v>
      </c>
      <c r="S13" s="62">
        <v>491796</v>
      </c>
      <c r="T13" s="62">
        <v>136507</v>
      </c>
      <c r="U13" s="62">
        <v>148257</v>
      </c>
      <c r="V13" s="62">
        <v>145237</v>
      </c>
      <c r="W13" s="62">
        <v>153020</v>
      </c>
      <c r="X13" s="62">
        <v>583021</v>
      </c>
      <c r="Y13" s="62">
        <v>162450</v>
      </c>
      <c r="Z13" s="62">
        <v>160346.65333000128</v>
      </c>
      <c r="AA13" s="62">
        <v>162565.34666999872</v>
      </c>
      <c r="AB13" s="62">
        <v>167406</v>
      </c>
      <c r="AC13" s="62">
        <f t="shared" si="4"/>
        <v>652768</v>
      </c>
      <c r="AD13" s="62">
        <v>174283</v>
      </c>
      <c r="AE13" s="62">
        <v>178678.78062000001</v>
      </c>
      <c r="AF13" s="62">
        <v>182316.41268114623</v>
      </c>
      <c r="AG13" s="62">
        <v>181961.58114992591</v>
      </c>
      <c r="AH13" s="171">
        <v>717239.77445107209</v>
      </c>
      <c r="AI13" s="171">
        <v>202994.63757000005</v>
      </c>
    </row>
    <row r="14" spans="1:35" s="14" customFormat="1" ht="13" x14ac:dyDescent="0.3">
      <c r="A14" s="13"/>
      <c r="B14" s="13" t="s">
        <v>37</v>
      </c>
      <c r="C14" s="13" t="s">
        <v>36</v>
      </c>
      <c r="D14" s="61">
        <v>30522</v>
      </c>
      <c r="E14" s="61">
        <v>11310</v>
      </c>
      <c r="F14" s="61">
        <v>18030</v>
      </c>
      <c r="G14" s="61">
        <v>17056</v>
      </c>
      <c r="H14" s="61">
        <v>24028</v>
      </c>
      <c r="I14" s="61">
        <v>70424</v>
      </c>
      <c r="J14" s="61">
        <v>11233</v>
      </c>
      <c r="K14" s="61">
        <v>12297</v>
      </c>
      <c r="L14" s="61">
        <v>19858</v>
      </c>
      <c r="M14" s="61">
        <v>60088</v>
      </c>
      <c r="N14" s="61">
        <v>103476</v>
      </c>
      <c r="O14" s="61">
        <v>9996</v>
      </c>
      <c r="P14" s="61">
        <v>10498</v>
      </c>
      <c r="Q14" s="61">
        <v>22127</v>
      </c>
      <c r="R14" s="61">
        <v>17087</v>
      </c>
      <c r="S14" s="61">
        <v>59708</v>
      </c>
      <c r="T14" s="61">
        <v>28881</v>
      </c>
      <c r="U14" s="61">
        <v>27481</v>
      </c>
      <c r="V14" s="61">
        <v>30562</v>
      </c>
      <c r="W14" s="61">
        <v>29824</v>
      </c>
      <c r="X14" s="61">
        <v>116748</v>
      </c>
      <c r="Y14" s="61">
        <v>30690</v>
      </c>
      <c r="Z14" s="61">
        <v>33980.345929999996</v>
      </c>
      <c r="AA14" s="61">
        <v>64129.654070000004</v>
      </c>
      <c r="AB14" s="61">
        <v>41805</v>
      </c>
      <c r="AC14" s="61">
        <f t="shared" si="4"/>
        <v>170605</v>
      </c>
      <c r="AD14" s="61">
        <v>47138</v>
      </c>
      <c r="AE14" s="61">
        <v>66301.932650000002</v>
      </c>
      <c r="AF14" s="61">
        <v>77080.378558853787</v>
      </c>
      <c r="AG14" s="61">
        <v>66960.675405083632</v>
      </c>
      <c r="AH14" s="177">
        <v>257480.98661393742</v>
      </c>
      <c r="AI14" s="177">
        <v>111014.13136</v>
      </c>
    </row>
    <row r="15" spans="1:35" s="12" customFormat="1" ht="13" x14ac:dyDescent="0.3">
      <c r="A15" s="10"/>
      <c r="B15" s="10" t="s">
        <v>212</v>
      </c>
      <c r="C15" s="10" t="s">
        <v>38</v>
      </c>
      <c r="D15" s="62">
        <v>46955</v>
      </c>
      <c r="E15" s="62">
        <v>14195</v>
      </c>
      <c r="F15" s="62">
        <v>11847</v>
      </c>
      <c r="G15" s="62">
        <v>12418</v>
      </c>
      <c r="H15" s="62">
        <v>12494</v>
      </c>
      <c r="I15" s="62">
        <v>50954</v>
      </c>
      <c r="J15" s="62">
        <v>10626</v>
      </c>
      <c r="K15" s="62">
        <v>12903</v>
      </c>
      <c r="L15" s="62">
        <v>8793</v>
      </c>
      <c r="M15" s="62">
        <v>6835</v>
      </c>
      <c r="N15" s="62">
        <v>39157</v>
      </c>
      <c r="O15" s="62">
        <v>3780</v>
      </c>
      <c r="P15" s="62">
        <v>6677</v>
      </c>
      <c r="Q15" s="62">
        <v>11912</v>
      </c>
      <c r="R15" s="62">
        <v>8967</v>
      </c>
      <c r="S15" s="62">
        <v>31335</v>
      </c>
      <c r="T15" s="62">
        <v>12524</v>
      </c>
      <c r="U15" s="62">
        <v>13420</v>
      </c>
      <c r="V15" s="62">
        <v>10484</v>
      </c>
      <c r="W15" s="62">
        <v>8945</v>
      </c>
      <c r="X15" s="62">
        <v>45373</v>
      </c>
      <c r="Y15" s="62">
        <v>10485</v>
      </c>
      <c r="Z15" s="62">
        <v>13901.024449999997</v>
      </c>
      <c r="AA15" s="62">
        <v>16375.347130000002</v>
      </c>
      <c r="AB15" s="62">
        <v>16410</v>
      </c>
      <c r="AC15" s="62">
        <f t="shared" si="4"/>
        <v>57171.371579999999</v>
      </c>
      <c r="AD15" s="62">
        <v>17104</v>
      </c>
      <c r="AE15" s="62">
        <v>16494.71054</v>
      </c>
      <c r="AF15" s="62">
        <v>17291.572990000001</v>
      </c>
      <c r="AG15" s="62">
        <v>11638.633105000004</v>
      </c>
      <c r="AH15" s="171">
        <v>62528.916635000001</v>
      </c>
      <c r="AI15" s="171">
        <v>13252.98459</v>
      </c>
    </row>
    <row r="16" spans="1:35" s="14" customFormat="1" ht="13" x14ac:dyDescent="0.3">
      <c r="A16" s="13"/>
      <c r="B16" s="13" t="s">
        <v>214</v>
      </c>
      <c r="C16" s="13" t="s">
        <v>39</v>
      </c>
      <c r="D16" s="61">
        <v>29336</v>
      </c>
      <c r="E16" s="61">
        <v>7075</v>
      </c>
      <c r="F16" s="61">
        <v>6106</v>
      </c>
      <c r="G16" s="61">
        <v>3915</v>
      </c>
      <c r="H16" s="61">
        <v>5723</v>
      </c>
      <c r="I16" s="61">
        <v>22819</v>
      </c>
      <c r="J16" s="61">
        <v>3521</v>
      </c>
      <c r="K16" s="61">
        <v>5214</v>
      </c>
      <c r="L16" s="61">
        <v>7362</v>
      </c>
      <c r="M16" s="61">
        <v>10089</v>
      </c>
      <c r="N16" s="61">
        <v>26186</v>
      </c>
      <c r="O16" s="61">
        <v>10331</v>
      </c>
      <c r="P16" s="61">
        <v>11509</v>
      </c>
      <c r="Q16" s="61">
        <v>9129</v>
      </c>
      <c r="R16" s="61">
        <v>12415</v>
      </c>
      <c r="S16" s="61">
        <v>43385</v>
      </c>
      <c r="T16" s="61">
        <v>10933</v>
      </c>
      <c r="U16" s="61">
        <v>7087</v>
      </c>
      <c r="V16" s="61">
        <v>6316</v>
      </c>
      <c r="W16" s="61">
        <v>6798</v>
      </c>
      <c r="X16" s="61">
        <v>31134</v>
      </c>
      <c r="Y16" s="61">
        <v>5521</v>
      </c>
      <c r="Z16" s="61">
        <v>6819.2568900000006</v>
      </c>
      <c r="AA16" s="61">
        <v>6003.3605399999979</v>
      </c>
      <c r="AB16" s="61">
        <v>4585</v>
      </c>
      <c r="AC16" s="61">
        <f t="shared" si="4"/>
        <v>22928.617429999998</v>
      </c>
      <c r="AD16" s="61">
        <v>2275</v>
      </c>
      <c r="AE16" s="61">
        <v>2705.5761900000002</v>
      </c>
      <c r="AF16" s="61">
        <v>4361.6357699999999</v>
      </c>
      <c r="AG16" s="61">
        <v>3747.933579999999</v>
      </c>
      <c r="AH16" s="177">
        <v>13090.145539999998</v>
      </c>
      <c r="AI16" s="177">
        <v>3814.0566600000011</v>
      </c>
    </row>
    <row r="17" spans="1:35" s="17" customFormat="1" ht="13" x14ac:dyDescent="0.3">
      <c r="A17" s="16"/>
      <c r="B17" s="16" t="s">
        <v>40</v>
      </c>
      <c r="C17" s="16" t="s">
        <v>41</v>
      </c>
      <c r="D17" s="65">
        <v>-241687</v>
      </c>
      <c r="E17" s="65">
        <v>-57894</v>
      </c>
      <c r="F17" s="65">
        <v>-67091</v>
      </c>
      <c r="G17" s="65">
        <v>-60813</v>
      </c>
      <c r="H17" s="65">
        <v>-59372</v>
      </c>
      <c r="I17" s="65">
        <v>-245170</v>
      </c>
      <c r="J17" s="65">
        <v>-59384</v>
      </c>
      <c r="K17" s="65">
        <v>-59184</v>
      </c>
      <c r="L17" s="65">
        <v>-61382</v>
      </c>
      <c r="M17" s="65">
        <v>-76649</v>
      </c>
      <c r="N17" s="65">
        <v>-256599</v>
      </c>
      <c r="O17" s="65">
        <v>-65213</v>
      </c>
      <c r="P17" s="65">
        <v>-106498</v>
      </c>
      <c r="Q17" s="65">
        <v>-138595</v>
      </c>
      <c r="R17" s="65">
        <v>-128023</v>
      </c>
      <c r="S17" s="65">
        <v>-438329</v>
      </c>
      <c r="T17" s="65">
        <v>-146571</v>
      </c>
      <c r="U17" s="65">
        <v>-129705</v>
      </c>
      <c r="V17" s="65">
        <v>-120792</v>
      </c>
      <c r="W17" s="65">
        <v>-129909</v>
      </c>
      <c r="X17" s="65">
        <f>SUM(T17:W17)</f>
        <v>-526977</v>
      </c>
      <c r="Y17" s="65">
        <v>-112572</v>
      </c>
      <c r="Z17" s="65">
        <v>-121121</v>
      </c>
      <c r="AA17" s="65">
        <v>-124144</v>
      </c>
      <c r="AB17" s="65">
        <v>-132088.89984999999</v>
      </c>
      <c r="AC17" s="65">
        <f>SUM(Y17:AB17)</f>
        <v>-489925.89984999999</v>
      </c>
      <c r="AD17" s="65">
        <v>-139900</v>
      </c>
      <c r="AE17" s="65">
        <v>-140097.33004</v>
      </c>
      <c r="AF17" s="65">
        <v>-144278</v>
      </c>
      <c r="AG17" s="168">
        <v>-140802</v>
      </c>
      <c r="AH17" s="168">
        <f>SUM(AD17:AG17)</f>
        <v>-565077.33004000003</v>
      </c>
      <c r="AI17" s="168">
        <v>-198356</v>
      </c>
    </row>
    <row r="18" spans="1:35" s="9" customFormat="1" ht="13" x14ac:dyDescent="0.3">
      <c r="A18" s="18"/>
      <c r="B18" s="8" t="s">
        <v>220</v>
      </c>
      <c r="C18" s="8" t="s">
        <v>225</v>
      </c>
      <c r="D18" s="64">
        <f t="shared" ref="D18:S18" si="6">SUM(D19:D22)</f>
        <v>-190363</v>
      </c>
      <c r="E18" s="64">
        <f t="shared" si="6"/>
        <v>-46010</v>
      </c>
      <c r="F18" s="64">
        <f t="shared" si="6"/>
        <v>-52423</v>
      </c>
      <c r="G18" s="64">
        <f t="shared" si="6"/>
        <v>-50968</v>
      </c>
      <c r="H18" s="64">
        <f t="shared" si="6"/>
        <v>-47150</v>
      </c>
      <c r="I18" s="64">
        <f t="shared" si="6"/>
        <v>-196551</v>
      </c>
      <c r="J18" s="64">
        <f t="shared" si="6"/>
        <v>-49738</v>
      </c>
      <c r="K18" s="64">
        <f t="shared" si="6"/>
        <v>-48351</v>
      </c>
      <c r="L18" s="64">
        <f t="shared" si="6"/>
        <v>-49909</v>
      </c>
      <c r="M18" s="64">
        <f t="shared" si="6"/>
        <v>-55206</v>
      </c>
      <c r="N18" s="64">
        <f t="shared" si="6"/>
        <v>-203204</v>
      </c>
      <c r="O18" s="64">
        <f t="shared" si="6"/>
        <v>-51411</v>
      </c>
      <c r="P18" s="64">
        <f t="shared" si="6"/>
        <v>-82566</v>
      </c>
      <c r="Q18" s="64">
        <f t="shared" si="6"/>
        <v>-102673</v>
      </c>
      <c r="R18" s="64">
        <f t="shared" si="6"/>
        <v>-98294</v>
      </c>
      <c r="S18" s="64">
        <f t="shared" si="6"/>
        <v>-334944</v>
      </c>
      <c r="T18" s="64">
        <f>SUM(T19:T22)</f>
        <v>-95519</v>
      </c>
      <c r="U18" s="64">
        <f t="shared" ref="U18:AD18" si="7">SUM(U19:U22)</f>
        <v>-89415</v>
      </c>
      <c r="V18" s="64">
        <f t="shared" si="7"/>
        <v>-90410</v>
      </c>
      <c r="W18" s="64">
        <f t="shared" si="7"/>
        <v>-95884</v>
      </c>
      <c r="X18" s="64">
        <f t="shared" ref="X18:X22" si="8">SUM(T18:W18)</f>
        <v>-371228</v>
      </c>
      <c r="Y18" s="64">
        <f t="shared" si="7"/>
        <v>-87113</v>
      </c>
      <c r="Z18" s="64">
        <f t="shared" si="7"/>
        <v>-93107.015889994989</v>
      </c>
      <c r="AA18" s="64">
        <f t="shared" si="7"/>
        <v>-89501.471990004997</v>
      </c>
      <c r="AB18" s="64">
        <f t="shared" si="7"/>
        <v>-89981.348169999997</v>
      </c>
      <c r="AC18" s="64">
        <f>SUM(Y18:AB18)</f>
        <v>-359702.83604999998</v>
      </c>
      <c r="AD18" s="64">
        <f t="shared" si="7"/>
        <v>-97190</v>
      </c>
      <c r="AE18" s="64">
        <f>SUM(AE19:AE22)</f>
        <v>-102073</v>
      </c>
      <c r="AF18" s="64">
        <f>SUM(AF19:AF22)</f>
        <v>-105143</v>
      </c>
      <c r="AG18" s="176">
        <f>SUM(AG19:AG22)</f>
        <v>-98506</v>
      </c>
      <c r="AH18" s="176">
        <f t="shared" si="5"/>
        <v>-402912</v>
      </c>
      <c r="AI18" s="176">
        <v>-148320</v>
      </c>
    </row>
    <row r="19" spans="1:35" s="12" customFormat="1" ht="13" x14ac:dyDescent="0.3">
      <c r="A19" s="10"/>
      <c r="B19" s="10" t="s">
        <v>213</v>
      </c>
      <c r="C19" s="10" t="s">
        <v>253</v>
      </c>
      <c r="D19" s="62">
        <v>-116953</v>
      </c>
      <c r="E19" s="62">
        <v>-25854</v>
      </c>
      <c r="F19" s="62">
        <f>-59740-E19</f>
        <v>-33886</v>
      </c>
      <c r="G19" s="62">
        <f>-93508-SUM(E19:F19)</f>
        <v>-33768</v>
      </c>
      <c r="H19" s="62">
        <f>I19-SUM(E19:G19)</f>
        <v>-30489</v>
      </c>
      <c r="I19" s="62">
        <v>-123997</v>
      </c>
      <c r="J19" s="62">
        <v>-34397</v>
      </c>
      <c r="K19" s="62">
        <f>-65612-J19</f>
        <v>-31215</v>
      </c>
      <c r="L19" s="62">
        <f>-99791-SUM(J19:K19)</f>
        <v>-34179</v>
      </c>
      <c r="M19" s="62">
        <f>N19-SUM(J19:L19)</f>
        <v>-33779</v>
      </c>
      <c r="N19" s="62">
        <v>-133570</v>
      </c>
      <c r="O19" s="62">
        <v>-37661</v>
      </c>
      <c r="P19" s="62">
        <f>-97459-O19</f>
        <v>-59798</v>
      </c>
      <c r="Q19" s="62">
        <f>-168171-SUM(O19:P19)</f>
        <v>-70712</v>
      </c>
      <c r="R19" s="62">
        <f>-238023-SUM(O19:Q19)</f>
        <v>-69852</v>
      </c>
      <c r="S19" s="62">
        <v>-238023</v>
      </c>
      <c r="T19" s="62">
        <v>-65141</v>
      </c>
      <c r="U19" s="62">
        <f>-126865-T19</f>
        <v>-61724</v>
      </c>
      <c r="V19" s="62">
        <v>-65837</v>
      </c>
      <c r="W19" s="62">
        <v>-70971</v>
      </c>
      <c r="X19" s="62">
        <f t="shared" si="8"/>
        <v>-263673</v>
      </c>
      <c r="Y19" s="62">
        <v>-66351</v>
      </c>
      <c r="Z19" s="62">
        <v>-64994.535049995</v>
      </c>
      <c r="AA19" s="62">
        <v>-64197.464950005</v>
      </c>
      <c r="AB19" s="62">
        <v>-67981</v>
      </c>
      <c r="AC19" s="62">
        <f t="shared" si="4"/>
        <v>-263524</v>
      </c>
      <c r="AD19" s="62">
        <v>-73292</v>
      </c>
      <c r="AE19" s="62">
        <v>-71959.414279999997</v>
      </c>
      <c r="AF19" s="62">
        <v>-74765.991204999984</v>
      </c>
      <c r="AG19" s="171">
        <v>-73358.472746900006</v>
      </c>
      <c r="AH19" s="171">
        <f t="shared" si="5"/>
        <v>-293375.87823189999</v>
      </c>
      <c r="AI19" s="171">
        <v>-65833.646309999982</v>
      </c>
    </row>
    <row r="20" spans="1:35" s="14" customFormat="1" ht="13" x14ac:dyDescent="0.3">
      <c r="A20" s="13"/>
      <c r="B20" s="13" t="s">
        <v>37</v>
      </c>
      <c r="C20" s="13" t="s">
        <v>254</v>
      </c>
      <c r="D20" s="61">
        <v>-4317</v>
      </c>
      <c r="E20" s="61">
        <v>-965</v>
      </c>
      <c r="F20" s="61">
        <f>-1926-E20</f>
        <v>-961</v>
      </c>
      <c r="G20" s="61">
        <f>-3112-SUM(E20:F20)</f>
        <v>-1186</v>
      </c>
      <c r="H20" s="61">
        <f>I20-SUM(E20:G20)</f>
        <v>-877</v>
      </c>
      <c r="I20" s="61">
        <v>-3989</v>
      </c>
      <c r="J20" s="61">
        <v>-1459</v>
      </c>
      <c r="K20" s="61">
        <f>-2510-J20</f>
        <v>-1051</v>
      </c>
      <c r="L20" s="61">
        <f>-3762-SUM(J20:K20)</f>
        <v>-1252</v>
      </c>
      <c r="M20" s="61">
        <f>N20-SUM(J20:L20)</f>
        <v>-5137</v>
      </c>
      <c r="N20" s="61">
        <v>-8899</v>
      </c>
      <c r="O20" s="61">
        <v>-1019</v>
      </c>
      <c r="P20" s="61">
        <f>-2413-O20</f>
        <v>-1394</v>
      </c>
      <c r="Q20" s="61">
        <f>-6566-SUM(O20:P20)</f>
        <v>-4153</v>
      </c>
      <c r="R20" s="61">
        <f>-9293-SUM(O20:Q20)</f>
        <v>-2727</v>
      </c>
      <c r="S20" s="61">
        <v>-9293</v>
      </c>
      <c r="T20" s="61">
        <v>-3038</v>
      </c>
      <c r="U20" s="61">
        <f>-7023-T20</f>
        <v>-3985</v>
      </c>
      <c r="V20" s="61">
        <v>-3723</v>
      </c>
      <c r="W20" s="61">
        <v>-4145</v>
      </c>
      <c r="X20" s="61">
        <f t="shared" si="8"/>
        <v>-14891</v>
      </c>
      <c r="Y20" s="61">
        <v>-2969</v>
      </c>
      <c r="Z20" s="61">
        <v>-8120.766039999995</v>
      </c>
      <c r="AA20" s="61">
        <v>-3724.233960000005</v>
      </c>
      <c r="AB20" s="61">
        <v>-4681</v>
      </c>
      <c r="AC20" s="61">
        <f t="shared" si="4"/>
        <v>-19495</v>
      </c>
      <c r="AD20" s="61">
        <v>-8296</v>
      </c>
      <c r="AE20" s="61">
        <v>-13498.797329999999</v>
      </c>
      <c r="AF20" s="61">
        <v>-12204.970815000017</v>
      </c>
      <c r="AG20" s="177">
        <v>-12386.900033099995</v>
      </c>
      <c r="AH20" s="177">
        <f t="shared" si="5"/>
        <v>-46386.668178100008</v>
      </c>
      <c r="AI20" s="177">
        <v>-67716.388959999997</v>
      </c>
    </row>
    <row r="21" spans="1:35" s="12" customFormat="1" ht="13" x14ac:dyDescent="0.3">
      <c r="A21" s="10"/>
      <c r="B21" s="10" t="s">
        <v>212</v>
      </c>
      <c r="C21" s="10" t="s">
        <v>223</v>
      </c>
      <c r="D21" s="62">
        <v>-46065</v>
      </c>
      <c r="E21" s="62">
        <v>-12925</v>
      </c>
      <c r="F21" s="62">
        <f>-26117-E21</f>
        <v>-13192</v>
      </c>
      <c r="G21" s="62">
        <f>-38636-SUM(E21:F21)</f>
        <v>-12519</v>
      </c>
      <c r="H21" s="62">
        <f>I21-SUM(E21:G21)</f>
        <v>-12162</v>
      </c>
      <c r="I21" s="62">
        <v>-50798</v>
      </c>
      <c r="J21" s="62">
        <v>-10108</v>
      </c>
      <c r="K21" s="62">
        <f>-20620-J21</f>
        <v>-10512</v>
      </c>
      <c r="L21" s="62">
        <f>-27474-SUM(J21:K21)</f>
        <v>-6854</v>
      </c>
      <c r="M21" s="62">
        <f>N21-SUM(J21:L21)</f>
        <v>-6904</v>
      </c>
      <c r="N21" s="62">
        <v>-34378</v>
      </c>
      <c r="O21" s="62">
        <v>-3142</v>
      </c>
      <c r="P21" s="62">
        <f>-13875-O21</f>
        <v>-10733</v>
      </c>
      <c r="Q21" s="62">
        <f>-30060-SUM(O21:P21)</f>
        <v>-16185</v>
      </c>
      <c r="R21" s="62">
        <f>-42544-SUM(O21:Q21)</f>
        <v>-12484</v>
      </c>
      <c r="S21" s="62">
        <v>-42544</v>
      </c>
      <c r="T21" s="62">
        <v>-17319</v>
      </c>
      <c r="U21" s="62">
        <f>-33818-T21</f>
        <v>-16499</v>
      </c>
      <c r="V21" s="62">
        <v>-12729</v>
      </c>
      <c r="W21" s="62">
        <v>-12137</v>
      </c>
      <c r="X21" s="62">
        <f t="shared" si="8"/>
        <v>-58684</v>
      </c>
      <c r="Y21" s="62">
        <v>-10773</v>
      </c>
      <c r="Z21" s="62">
        <v>-14203.015089999997</v>
      </c>
      <c r="AA21" s="62">
        <v>-15656.921109999985</v>
      </c>
      <c r="AB21" s="62">
        <v>-13927</v>
      </c>
      <c r="AC21" s="62">
        <f t="shared" si="4"/>
        <v>-54559.936199999982</v>
      </c>
      <c r="AD21" s="62">
        <v>-13947</v>
      </c>
      <c r="AE21" s="62">
        <v>-14795.352919999999</v>
      </c>
      <c r="AF21" s="62">
        <v>-15006.46788</v>
      </c>
      <c r="AG21" s="171">
        <v>-9721.3051299999988</v>
      </c>
      <c r="AH21" s="171">
        <f t="shared" si="5"/>
        <v>-53470.125930000002</v>
      </c>
      <c r="AI21" s="171">
        <v>-11720.635189999999</v>
      </c>
    </row>
    <row r="22" spans="1:35" s="14" customFormat="1" ht="13" x14ac:dyDescent="0.3">
      <c r="A22" s="13"/>
      <c r="B22" s="13" t="s">
        <v>214</v>
      </c>
      <c r="C22" s="13" t="s">
        <v>224</v>
      </c>
      <c r="D22" s="61">
        <v>-23028</v>
      </c>
      <c r="E22" s="61">
        <v>-6266</v>
      </c>
      <c r="F22" s="61">
        <f>-10650-E22</f>
        <v>-4384</v>
      </c>
      <c r="G22" s="61">
        <f>-14145-SUM(E22:F22)</f>
        <v>-3495</v>
      </c>
      <c r="H22" s="61">
        <f>I22-SUM(E22:G22)</f>
        <v>-3622</v>
      </c>
      <c r="I22" s="61">
        <v>-17767</v>
      </c>
      <c r="J22" s="61">
        <v>-3774</v>
      </c>
      <c r="K22" s="61">
        <f>-9347-J22</f>
        <v>-5573</v>
      </c>
      <c r="L22" s="61">
        <f>-16971-SUM(J22:K22)</f>
        <v>-7624</v>
      </c>
      <c r="M22" s="61">
        <f>N22-SUM(J22:L22)</f>
        <v>-9386</v>
      </c>
      <c r="N22" s="61">
        <v>-26357</v>
      </c>
      <c r="O22" s="61">
        <v>-9589</v>
      </c>
      <c r="P22" s="61">
        <f>-20230-O22</f>
        <v>-10641</v>
      </c>
      <c r="Q22" s="61">
        <f>-31853-SUM(O22:P22)</f>
        <v>-11623</v>
      </c>
      <c r="R22" s="61">
        <f>-45084-SUM(O22:Q22)</f>
        <v>-13231</v>
      </c>
      <c r="S22" s="61">
        <v>-45084</v>
      </c>
      <c r="T22" s="61">
        <v>-10021</v>
      </c>
      <c r="U22" s="61">
        <f>-17228-T22</f>
        <v>-7207</v>
      </c>
      <c r="V22" s="61">
        <v>-8121</v>
      </c>
      <c r="W22" s="61">
        <v>-8631</v>
      </c>
      <c r="X22" s="61">
        <f t="shared" si="8"/>
        <v>-33980</v>
      </c>
      <c r="Y22" s="61">
        <v>-7020</v>
      </c>
      <c r="Z22" s="61">
        <v>-5788.6997100000026</v>
      </c>
      <c r="AA22" s="61">
        <v>-5922.8519700000015</v>
      </c>
      <c r="AB22" s="61">
        <v>-3392.3481699999938</v>
      </c>
      <c r="AC22" s="61">
        <f t="shared" si="4"/>
        <v>-22123.899849999998</v>
      </c>
      <c r="AD22" s="61">
        <v>-1655</v>
      </c>
      <c r="AE22" s="61">
        <v>-1819.4354699999999</v>
      </c>
      <c r="AF22" s="61">
        <v>-3165.5700999999999</v>
      </c>
      <c r="AG22" s="177">
        <v>-3039.3220900000001</v>
      </c>
      <c r="AH22" s="177">
        <f t="shared" si="5"/>
        <v>-9679.327659999999</v>
      </c>
      <c r="AI22" s="177">
        <v>-3050.2703400000005</v>
      </c>
    </row>
    <row r="23" spans="1:35" s="14" customFormat="1" ht="13" x14ac:dyDescent="0.3">
      <c r="A23" s="13"/>
      <c r="B23" s="13"/>
      <c r="C23" s="13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103"/>
      <c r="AF23" s="103"/>
    </row>
    <row r="24" spans="1:35" s="14" customFormat="1" ht="13" x14ac:dyDescent="0.3">
      <c r="A24" s="13"/>
      <c r="B24" s="142" t="s">
        <v>300</v>
      </c>
      <c r="C24" s="142" t="s">
        <v>317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103"/>
      <c r="AF24" s="103"/>
    </row>
    <row r="25" spans="1:35" s="6" customFormat="1" ht="13" x14ac:dyDescent="0.3">
      <c r="A25" s="5"/>
      <c r="B25" s="5" t="s">
        <v>1</v>
      </c>
      <c r="C25" s="5" t="s">
        <v>2</v>
      </c>
      <c r="D25" s="6" t="str">
        <f>+D$6</f>
        <v>2019 (FY)</v>
      </c>
      <c r="E25" s="6" t="str">
        <f t="shared" ref="E25:AD25" si="9">+E$6</f>
        <v>1T20</v>
      </c>
      <c r="F25" s="6" t="str">
        <f t="shared" si="9"/>
        <v>2T20</v>
      </c>
      <c r="G25" s="6" t="str">
        <f t="shared" si="9"/>
        <v>3T20</v>
      </c>
      <c r="H25" s="6" t="str">
        <f t="shared" si="9"/>
        <v>4T20</v>
      </c>
      <c r="I25" s="6" t="str">
        <f t="shared" si="9"/>
        <v>2020 (FY)</v>
      </c>
      <c r="J25" s="6" t="str">
        <f t="shared" si="9"/>
        <v>1T21</v>
      </c>
      <c r="K25" s="6" t="str">
        <f t="shared" si="9"/>
        <v>2T21</v>
      </c>
      <c r="L25" s="6" t="str">
        <f t="shared" si="9"/>
        <v>3T21</v>
      </c>
      <c r="M25" s="6" t="str">
        <f t="shared" si="9"/>
        <v>4T21</v>
      </c>
      <c r="N25" s="6" t="str">
        <f t="shared" si="9"/>
        <v>2021 (FY)</v>
      </c>
      <c r="O25" s="6" t="str">
        <f t="shared" si="9"/>
        <v>1T22</v>
      </c>
      <c r="P25" s="6" t="str">
        <f t="shared" si="9"/>
        <v>2T22</v>
      </c>
      <c r="Q25" s="6" t="str">
        <f t="shared" si="9"/>
        <v>3T22</v>
      </c>
      <c r="R25" s="6" t="str">
        <f t="shared" si="9"/>
        <v>4T22</v>
      </c>
      <c r="S25" s="6" t="str">
        <f t="shared" si="9"/>
        <v>2022 (FY)</v>
      </c>
      <c r="T25" s="6" t="str">
        <f t="shared" si="9"/>
        <v>1T23</v>
      </c>
      <c r="U25" s="6" t="str">
        <f t="shared" si="9"/>
        <v>2T23</v>
      </c>
      <c r="V25" s="6" t="str">
        <f t="shared" si="9"/>
        <v>3T23</v>
      </c>
      <c r="W25" s="6" t="str">
        <f t="shared" si="9"/>
        <v>4T23</v>
      </c>
      <c r="X25" s="6" t="str">
        <f t="shared" si="9"/>
        <v>2023 (FY)</v>
      </c>
      <c r="Y25" s="6" t="str">
        <f t="shared" si="9"/>
        <v>1T24</v>
      </c>
      <c r="Z25" s="6" t="str">
        <f t="shared" si="9"/>
        <v>2T24</v>
      </c>
      <c r="AA25" s="6" t="str">
        <f t="shared" si="9"/>
        <v>3T24</v>
      </c>
      <c r="AB25" s="6" t="str">
        <f t="shared" si="9"/>
        <v>4T24</v>
      </c>
      <c r="AC25" s="6" t="str">
        <f t="shared" si="9"/>
        <v>2024 (FY)</v>
      </c>
      <c r="AD25" s="6" t="str">
        <f t="shared" si="9"/>
        <v>1T25</v>
      </c>
      <c r="AE25" s="6" t="str">
        <f>+AE$6</f>
        <v>2T25</v>
      </c>
      <c r="AF25" s="6" t="s">
        <v>323</v>
      </c>
      <c r="AG25" s="6" t="s">
        <v>336</v>
      </c>
      <c r="AH25" s="6" t="str">
        <f>+AH$6</f>
        <v>2025(FY)</v>
      </c>
      <c r="AI25" s="6" t="s">
        <v>354</v>
      </c>
    </row>
    <row r="26" spans="1:35" s="6" customFormat="1" ht="13" x14ac:dyDescent="0.3">
      <c r="A26" s="5"/>
      <c r="B26" s="5" t="s">
        <v>319</v>
      </c>
      <c r="C26" s="5" t="s">
        <v>318</v>
      </c>
      <c r="D26" s="6" t="str">
        <f>+D$7</f>
        <v>2019 (FY)</v>
      </c>
      <c r="E26" s="6" t="str">
        <f t="shared" ref="E26:AD26" si="10">+E$7</f>
        <v>1Q20</v>
      </c>
      <c r="F26" s="6" t="str">
        <f t="shared" si="10"/>
        <v>2Q20</v>
      </c>
      <c r="G26" s="6" t="str">
        <f t="shared" si="10"/>
        <v>3Q20</v>
      </c>
      <c r="H26" s="6" t="str">
        <f t="shared" si="10"/>
        <v>4Q20</v>
      </c>
      <c r="I26" s="6" t="str">
        <f t="shared" si="10"/>
        <v>2020 (FY)</v>
      </c>
      <c r="J26" s="6" t="str">
        <f t="shared" si="10"/>
        <v>1Q21</v>
      </c>
      <c r="K26" s="6" t="str">
        <f t="shared" si="10"/>
        <v>2Q21</v>
      </c>
      <c r="L26" s="6" t="str">
        <f t="shared" si="10"/>
        <v>3Q21</v>
      </c>
      <c r="M26" s="6" t="str">
        <f t="shared" si="10"/>
        <v>4Q21</v>
      </c>
      <c r="N26" s="6" t="str">
        <f t="shared" si="10"/>
        <v>2021 (FY)</v>
      </c>
      <c r="O26" s="6" t="str">
        <f t="shared" si="10"/>
        <v>1Q22</v>
      </c>
      <c r="P26" s="6" t="str">
        <f t="shared" si="10"/>
        <v>2Q22</v>
      </c>
      <c r="Q26" s="6" t="str">
        <f t="shared" si="10"/>
        <v>3Q22</v>
      </c>
      <c r="R26" s="6" t="str">
        <f t="shared" si="10"/>
        <v>4Q22</v>
      </c>
      <c r="S26" s="6" t="str">
        <f t="shared" si="10"/>
        <v>2022 (FY)</v>
      </c>
      <c r="T26" s="6" t="str">
        <f t="shared" si="10"/>
        <v>1Q23</v>
      </c>
      <c r="U26" s="6" t="str">
        <f t="shared" si="10"/>
        <v>2Q23</v>
      </c>
      <c r="V26" s="6" t="str">
        <f t="shared" si="10"/>
        <v>3Q23</v>
      </c>
      <c r="W26" s="6" t="str">
        <f t="shared" si="10"/>
        <v>4Q23</v>
      </c>
      <c r="X26" s="6" t="str">
        <f t="shared" si="10"/>
        <v>2023 (FY)</v>
      </c>
      <c r="Y26" s="6" t="str">
        <f t="shared" si="10"/>
        <v>1Q24</v>
      </c>
      <c r="Z26" s="6" t="str">
        <f t="shared" si="10"/>
        <v>2Q24</v>
      </c>
      <c r="AA26" s="6" t="str">
        <f t="shared" si="10"/>
        <v>3Q24</v>
      </c>
      <c r="AB26" s="6" t="str">
        <f t="shared" si="10"/>
        <v>4Q24</v>
      </c>
      <c r="AC26" s="6" t="str">
        <f t="shared" si="10"/>
        <v>2024 (FY)</v>
      </c>
      <c r="AD26" s="6" t="str">
        <f t="shared" si="10"/>
        <v>1Q25</v>
      </c>
      <c r="AE26" s="6" t="str">
        <f>+AE$7</f>
        <v>2Q25</v>
      </c>
      <c r="AF26" s="6" t="s">
        <v>324</v>
      </c>
      <c r="AG26" s="6" t="s">
        <v>337</v>
      </c>
      <c r="AH26" s="6" t="str">
        <f t="shared" ref="AH26" si="11">+AH$7</f>
        <v>2025 (FY)</v>
      </c>
      <c r="AI26" s="6" t="s">
        <v>355</v>
      </c>
    </row>
    <row r="27" spans="1:35" s="9" customFormat="1" ht="13" x14ac:dyDescent="0.3">
      <c r="A27" s="8" t="s">
        <v>0</v>
      </c>
      <c r="B27" s="8" t="s">
        <v>33</v>
      </c>
      <c r="C27" s="8" t="s">
        <v>34</v>
      </c>
      <c r="D27" s="64">
        <f t="shared" ref="D27:X27" si="12">+D12</f>
        <v>348153</v>
      </c>
      <c r="E27" s="64">
        <f t="shared" si="12"/>
        <v>91509</v>
      </c>
      <c r="F27" s="64">
        <f t="shared" si="12"/>
        <v>99836</v>
      </c>
      <c r="G27" s="64">
        <f t="shared" si="12"/>
        <v>97605</v>
      </c>
      <c r="H27" s="64">
        <f t="shared" si="12"/>
        <v>103018</v>
      </c>
      <c r="I27" s="64">
        <f t="shared" si="12"/>
        <v>391968</v>
      </c>
      <c r="J27" s="64">
        <f t="shared" si="12"/>
        <v>87625</v>
      </c>
      <c r="K27" s="64">
        <f t="shared" si="12"/>
        <v>92687</v>
      </c>
      <c r="L27" s="64">
        <f t="shared" si="12"/>
        <v>99841</v>
      </c>
      <c r="M27" s="64">
        <f t="shared" si="12"/>
        <v>155363</v>
      </c>
      <c r="N27" s="64">
        <f t="shared" si="12"/>
        <v>435516</v>
      </c>
      <c r="O27" s="64">
        <f t="shared" si="12"/>
        <v>99226</v>
      </c>
      <c r="P27" s="64">
        <f t="shared" si="12"/>
        <v>150612</v>
      </c>
      <c r="Q27" s="64">
        <f t="shared" si="12"/>
        <v>197177</v>
      </c>
      <c r="R27" s="64">
        <f t="shared" si="12"/>
        <v>179209</v>
      </c>
      <c r="S27" s="64">
        <f t="shared" si="12"/>
        <v>626224</v>
      </c>
      <c r="T27" s="64">
        <f t="shared" si="12"/>
        <v>188845</v>
      </c>
      <c r="U27" s="64">
        <f t="shared" si="12"/>
        <v>196245</v>
      </c>
      <c r="V27" s="64">
        <f t="shared" si="12"/>
        <v>192599</v>
      </c>
      <c r="W27" s="64">
        <f t="shared" si="12"/>
        <v>198587</v>
      </c>
      <c r="X27" s="64">
        <f t="shared" si="12"/>
        <v>776276</v>
      </c>
      <c r="Y27" s="64">
        <f t="shared" ref="Y27:AD27" si="13">+SUM(Y28:Y30)</f>
        <v>209146</v>
      </c>
      <c r="Z27" s="64">
        <f t="shared" si="13"/>
        <v>215047</v>
      </c>
      <c r="AA27" s="64">
        <f t="shared" si="13"/>
        <v>249073.99999999997</v>
      </c>
      <c r="AB27" s="64">
        <f t="shared" si="13"/>
        <v>230206.00000000003</v>
      </c>
      <c r="AC27" s="64">
        <f t="shared" si="13"/>
        <v>903473.00000000012</v>
      </c>
      <c r="AD27" s="64">
        <f t="shared" si="13"/>
        <v>240800.00000000006</v>
      </c>
      <c r="AE27" s="64">
        <f>+SUM(AE28:AE30)</f>
        <v>264181</v>
      </c>
      <c r="AF27" s="64">
        <f>+SUM(AF28:AF30)</f>
        <v>281049.74613999901</v>
      </c>
      <c r="AG27" s="64">
        <v>264309.14251335786</v>
      </c>
      <c r="AH27" s="176">
        <v>1050339.8886533568</v>
      </c>
      <c r="AI27" s="176">
        <v>331076</v>
      </c>
    </row>
    <row r="28" spans="1:35" s="12" customFormat="1" ht="14.5" x14ac:dyDescent="0.3">
      <c r="A28" s="10"/>
      <c r="B28" s="10" t="s">
        <v>293</v>
      </c>
      <c r="C28" s="10" t="s">
        <v>296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>
        <v>177623.79344000001</v>
      </c>
      <c r="Z28" s="62">
        <v>177411.52285000001</v>
      </c>
      <c r="AA28" s="62">
        <v>209368.38178999998</v>
      </c>
      <c r="AB28" s="62">
        <v>178914.43696000002</v>
      </c>
      <c r="AC28" s="62">
        <f>+SUM(Y28:AB28)</f>
        <v>743318.13504000008</v>
      </c>
      <c r="AD28" s="62">
        <v>188189.14307000008</v>
      </c>
      <c r="AE28" s="62">
        <v>201650.95336999997</v>
      </c>
      <c r="AF28" s="62">
        <v>214251.088859999</v>
      </c>
      <c r="AG28" s="167">
        <v>208591.81470000104</v>
      </c>
      <c r="AH28" s="171">
        <v>812683</v>
      </c>
      <c r="AI28" s="171">
        <v>228079</v>
      </c>
    </row>
    <row r="29" spans="1:35" s="14" customFormat="1" ht="14.5" x14ac:dyDescent="0.3">
      <c r="A29" s="13"/>
      <c r="B29" s="13" t="s">
        <v>294</v>
      </c>
      <c r="C29" s="13" t="s">
        <v>297</v>
      </c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>
        <v>15445.68435</v>
      </c>
      <c r="Z29" s="61">
        <v>17411.224149999998</v>
      </c>
      <c r="AA29" s="61">
        <v>17967.993619999997</v>
      </c>
      <c r="AB29" s="61">
        <v>31212.523579999997</v>
      </c>
      <c r="AC29" s="61">
        <f>+SUM(Y29:AB29)</f>
        <v>82037.425699999993</v>
      </c>
      <c r="AD29" s="61">
        <v>33231.929529999994</v>
      </c>
      <c r="AE29" s="61">
        <v>43329.759899999997</v>
      </c>
      <c r="AF29" s="61">
        <v>45145.657279999999</v>
      </c>
      <c r="AG29" s="166">
        <v>40330.327813356824</v>
      </c>
      <c r="AH29" s="177">
        <v>162038</v>
      </c>
      <c r="AI29" s="177">
        <v>85930</v>
      </c>
    </row>
    <row r="30" spans="1:35" s="12" customFormat="1" ht="14.5" x14ac:dyDescent="0.3">
      <c r="A30" s="10"/>
      <c r="B30" s="10" t="s">
        <v>295</v>
      </c>
      <c r="C30" s="10" t="s">
        <v>298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>
        <v>16076.522209999994</v>
      </c>
      <c r="Z30" s="62">
        <v>20224.253000000001</v>
      </c>
      <c r="AA30" s="62">
        <v>21737.624590000003</v>
      </c>
      <c r="AB30" s="62">
        <v>20079.03946</v>
      </c>
      <c r="AC30" s="62">
        <f>+SUM(Y30:AB30)</f>
        <v>78117.439259999999</v>
      </c>
      <c r="AD30" s="62">
        <v>19378.927399999986</v>
      </c>
      <c r="AE30" s="62">
        <v>19200.286729999996</v>
      </c>
      <c r="AF30" s="62">
        <v>21653</v>
      </c>
      <c r="AG30" s="167">
        <v>15387</v>
      </c>
      <c r="AH30" s="171">
        <v>75619</v>
      </c>
      <c r="AI30" s="171">
        <v>17067</v>
      </c>
    </row>
    <row r="31" spans="1:35" s="122" customFormat="1" ht="13" x14ac:dyDescent="0.3">
      <c r="A31" s="120"/>
      <c r="B31" s="120" t="s">
        <v>40</v>
      </c>
      <c r="C31" s="120" t="s">
        <v>41</v>
      </c>
      <c r="D31" s="121">
        <f>+D17</f>
        <v>-241687</v>
      </c>
      <c r="E31" s="121">
        <f t="shared" ref="E31:T31" si="14">+E17</f>
        <v>-57894</v>
      </c>
      <c r="F31" s="121">
        <f t="shared" si="14"/>
        <v>-67091</v>
      </c>
      <c r="G31" s="121">
        <f t="shared" si="14"/>
        <v>-60813</v>
      </c>
      <c r="H31" s="121">
        <f t="shared" si="14"/>
        <v>-59372</v>
      </c>
      <c r="I31" s="121">
        <f t="shared" si="14"/>
        <v>-245170</v>
      </c>
      <c r="J31" s="121">
        <f t="shared" si="14"/>
        <v>-59384</v>
      </c>
      <c r="K31" s="121">
        <f t="shared" si="14"/>
        <v>-59184</v>
      </c>
      <c r="L31" s="121">
        <f t="shared" si="14"/>
        <v>-61382</v>
      </c>
      <c r="M31" s="121">
        <f t="shared" si="14"/>
        <v>-76649</v>
      </c>
      <c r="N31" s="121">
        <f t="shared" si="14"/>
        <v>-256599</v>
      </c>
      <c r="O31" s="121">
        <f t="shared" si="14"/>
        <v>-65213</v>
      </c>
      <c r="P31" s="121">
        <f t="shared" si="14"/>
        <v>-106498</v>
      </c>
      <c r="Q31" s="121">
        <f t="shared" si="14"/>
        <v>-138595</v>
      </c>
      <c r="R31" s="121">
        <f t="shared" si="14"/>
        <v>-128023</v>
      </c>
      <c r="S31" s="121">
        <f t="shared" si="14"/>
        <v>-438329</v>
      </c>
      <c r="T31" s="121">
        <f t="shared" si="14"/>
        <v>-146571</v>
      </c>
      <c r="U31" s="121">
        <f t="shared" ref="U31:AE31" si="15">+U17</f>
        <v>-129705</v>
      </c>
      <c r="V31" s="121">
        <f t="shared" si="15"/>
        <v>-120792</v>
      </c>
      <c r="W31" s="121">
        <f t="shared" si="15"/>
        <v>-129909</v>
      </c>
      <c r="X31" s="121">
        <f t="shared" si="15"/>
        <v>-526977</v>
      </c>
      <c r="Y31" s="121">
        <f t="shared" si="15"/>
        <v>-112572</v>
      </c>
      <c r="Z31" s="121">
        <f t="shared" si="15"/>
        <v>-121121</v>
      </c>
      <c r="AA31" s="121">
        <f t="shared" si="15"/>
        <v>-124144</v>
      </c>
      <c r="AB31" s="121">
        <f t="shared" si="15"/>
        <v>-132088.89984999999</v>
      </c>
      <c r="AC31" s="121">
        <f t="shared" si="15"/>
        <v>-489925.89984999999</v>
      </c>
      <c r="AD31" s="121">
        <f t="shared" si="15"/>
        <v>-139900</v>
      </c>
      <c r="AE31" s="121">
        <f t="shared" si="15"/>
        <v>-140097.33004</v>
      </c>
      <c r="AF31" s="121">
        <f>+AF17</f>
        <v>-144278</v>
      </c>
      <c r="AG31" s="169">
        <v>-140802</v>
      </c>
      <c r="AH31" s="169">
        <v>-565077.33004000003</v>
      </c>
      <c r="AI31" s="169">
        <v>-198356</v>
      </c>
    </row>
    <row r="32" spans="1:35" s="17" customFormat="1" ht="13" x14ac:dyDescent="0.3">
      <c r="A32" s="123"/>
      <c r="B32" s="16" t="s">
        <v>220</v>
      </c>
      <c r="C32" s="16" t="s">
        <v>225</v>
      </c>
      <c r="D32" s="65">
        <f t="shared" ref="D32:AD32" si="16">+D18</f>
        <v>-190363</v>
      </c>
      <c r="E32" s="65">
        <f t="shared" si="16"/>
        <v>-46010</v>
      </c>
      <c r="F32" s="65">
        <f t="shared" si="16"/>
        <v>-52423</v>
      </c>
      <c r="G32" s="65">
        <f t="shared" si="16"/>
        <v>-50968</v>
      </c>
      <c r="H32" s="65">
        <f t="shared" si="16"/>
        <v>-47150</v>
      </c>
      <c r="I32" s="65">
        <f t="shared" si="16"/>
        <v>-196551</v>
      </c>
      <c r="J32" s="65">
        <f t="shared" si="16"/>
        <v>-49738</v>
      </c>
      <c r="K32" s="65">
        <f t="shared" si="16"/>
        <v>-48351</v>
      </c>
      <c r="L32" s="65">
        <f t="shared" si="16"/>
        <v>-49909</v>
      </c>
      <c r="M32" s="65">
        <f t="shared" si="16"/>
        <v>-55206</v>
      </c>
      <c r="N32" s="65">
        <f t="shared" si="16"/>
        <v>-203204</v>
      </c>
      <c r="O32" s="65">
        <f t="shared" si="16"/>
        <v>-51411</v>
      </c>
      <c r="P32" s="65">
        <f t="shared" si="16"/>
        <v>-82566</v>
      </c>
      <c r="Q32" s="65">
        <f t="shared" si="16"/>
        <v>-102673</v>
      </c>
      <c r="R32" s="65">
        <f t="shared" si="16"/>
        <v>-98294</v>
      </c>
      <c r="S32" s="65">
        <f t="shared" si="16"/>
        <v>-334944</v>
      </c>
      <c r="T32" s="65">
        <f t="shared" si="16"/>
        <v>-95519</v>
      </c>
      <c r="U32" s="65">
        <f t="shared" si="16"/>
        <v>-89415</v>
      </c>
      <c r="V32" s="65">
        <f t="shared" si="16"/>
        <v>-90410</v>
      </c>
      <c r="W32" s="65">
        <f t="shared" si="16"/>
        <v>-95884</v>
      </c>
      <c r="X32" s="65">
        <f t="shared" si="16"/>
        <v>-371228</v>
      </c>
      <c r="Y32" s="65">
        <f t="shared" si="16"/>
        <v>-87113</v>
      </c>
      <c r="Z32" s="65">
        <f t="shared" si="16"/>
        <v>-93107.015889994989</v>
      </c>
      <c r="AA32" s="65">
        <f t="shared" si="16"/>
        <v>-89501.471990004997</v>
      </c>
      <c r="AB32" s="65">
        <f t="shared" si="16"/>
        <v>-89981.348169999997</v>
      </c>
      <c r="AC32" s="65">
        <f t="shared" si="16"/>
        <v>-359702.83604999998</v>
      </c>
      <c r="AD32" s="65">
        <f t="shared" si="16"/>
        <v>-97190</v>
      </c>
      <c r="AE32" s="65">
        <f>+SUM(AE33:AE35)</f>
        <v>-102073</v>
      </c>
      <c r="AF32" s="65">
        <f>+SUM(AF33:AF35)</f>
        <v>-105143</v>
      </c>
      <c r="AG32" s="168">
        <v>-98507</v>
      </c>
      <c r="AH32" s="168">
        <v>-402912</v>
      </c>
      <c r="AI32" s="168">
        <v>-148320</v>
      </c>
    </row>
    <row r="33" spans="1:35" s="126" customFormat="1" ht="13" x14ac:dyDescent="0.3">
      <c r="A33" s="124"/>
      <c r="B33" s="124" t="s">
        <v>293</v>
      </c>
      <c r="C33" s="124" t="s">
        <v>296</v>
      </c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>
        <v>-67141.452609999978</v>
      </c>
      <c r="Z33" s="125">
        <v>-71565.850440000009</v>
      </c>
      <c r="AA33" s="125">
        <v>-69184.193750000035</v>
      </c>
      <c r="AB33" s="125">
        <v>-67462.473809999967</v>
      </c>
      <c r="AC33" s="125">
        <f>+SUM(Y33:AB33)</f>
        <v>-275353.97060999996</v>
      </c>
      <c r="AD33" s="125">
        <v>-73370.400720000005</v>
      </c>
      <c r="AE33" s="125">
        <v>-75354.176989999993</v>
      </c>
      <c r="AF33" s="125">
        <v>-78792.837264999995</v>
      </c>
      <c r="AG33" s="170">
        <v>-74908.916049999985</v>
      </c>
      <c r="AH33" s="170">
        <v>-302426.33102499996</v>
      </c>
      <c r="AI33" s="170">
        <v>-69123</v>
      </c>
    </row>
    <row r="34" spans="1:35" s="129" customFormat="1" ht="13" x14ac:dyDescent="0.3">
      <c r="A34" s="127"/>
      <c r="B34" s="127" t="s">
        <v>294</v>
      </c>
      <c r="C34" s="127" t="s">
        <v>297</v>
      </c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>
        <v>-653.75234</v>
      </c>
      <c r="Z34" s="128">
        <v>-1219.2256799999989</v>
      </c>
      <c r="AA34" s="128">
        <v>-893.81677000000138</v>
      </c>
      <c r="AB34" s="128">
        <v>-4731.3321299999998</v>
      </c>
      <c r="AC34" s="128">
        <f>+SUM(Y34:AB34)</f>
        <v>-7498.1269200000006</v>
      </c>
      <c r="AD34" s="128">
        <v>-8217.2346799999978</v>
      </c>
      <c r="AE34" s="128">
        <v>-10116.53462</v>
      </c>
      <c r="AF34" s="128">
        <v>-8178.1247550000098</v>
      </c>
      <c r="AG34" s="171">
        <v>-9889.4839200000151</v>
      </c>
      <c r="AH34" s="178">
        <v>-36400.377975000025</v>
      </c>
      <c r="AI34" s="178">
        <v>-64426</v>
      </c>
    </row>
    <row r="35" spans="1:35" s="126" customFormat="1" ht="13" x14ac:dyDescent="0.3">
      <c r="A35" s="124"/>
      <c r="B35" s="124" t="s">
        <v>295</v>
      </c>
      <c r="C35" s="124" t="s">
        <v>298</v>
      </c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>
        <v>-19317.795050000012</v>
      </c>
      <c r="Z35" s="125">
        <v>-20321.923879999995</v>
      </c>
      <c r="AA35" s="125">
        <v>-19423.989480000004</v>
      </c>
      <c r="AB35" s="125">
        <v>-17787.194059999998</v>
      </c>
      <c r="AC35" s="125">
        <f>+SUM(Y35:AB35)</f>
        <v>-76850.902470000001</v>
      </c>
      <c r="AD35" s="125">
        <v>-15602.364600000003</v>
      </c>
      <c r="AE35" s="125">
        <v>-16602.288390000002</v>
      </c>
      <c r="AF35" s="125">
        <v>-18172.037980000001</v>
      </c>
      <c r="AG35" s="170">
        <v>-13708.600029999998</v>
      </c>
      <c r="AH35" s="179">
        <v>-64085.291000000012</v>
      </c>
      <c r="AI35" s="179">
        <v>-14771</v>
      </c>
    </row>
    <row r="36" spans="1:35" s="17" customFormat="1" ht="13" x14ac:dyDescent="0.3">
      <c r="A36" s="16"/>
      <c r="B36" s="16" t="s">
        <v>42</v>
      </c>
      <c r="C36" s="16" t="s">
        <v>43</v>
      </c>
      <c r="D36" s="65">
        <v>106466</v>
      </c>
      <c r="E36" s="65">
        <v>33615</v>
      </c>
      <c r="F36" s="65">
        <v>32745</v>
      </c>
      <c r="G36" s="65">
        <v>36792</v>
      </c>
      <c r="H36" s="65">
        <v>43646</v>
      </c>
      <c r="I36" s="65">
        <v>146798</v>
      </c>
      <c r="J36" s="65">
        <v>28241</v>
      </c>
      <c r="K36" s="65">
        <v>33503</v>
      </c>
      <c r="L36" s="65">
        <v>38459</v>
      </c>
      <c r="M36" s="65">
        <v>78714</v>
      </c>
      <c r="N36" s="65">
        <v>178917</v>
      </c>
      <c r="O36" s="65">
        <f t="shared" ref="O36:X36" si="17">SUM(O17,O12)</f>
        <v>34013</v>
      </c>
      <c r="P36" s="65">
        <f t="shared" si="17"/>
        <v>44114</v>
      </c>
      <c r="Q36" s="65">
        <f t="shared" si="17"/>
        <v>58582</v>
      </c>
      <c r="R36" s="65">
        <f t="shared" si="17"/>
        <v>51186</v>
      </c>
      <c r="S36" s="65">
        <f t="shared" si="17"/>
        <v>187895</v>
      </c>
      <c r="T36" s="65">
        <f t="shared" si="17"/>
        <v>42274</v>
      </c>
      <c r="U36" s="65">
        <f t="shared" si="17"/>
        <v>66540</v>
      </c>
      <c r="V36" s="65">
        <f t="shared" si="17"/>
        <v>71807</v>
      </c>
      <c r="W36" s="65">
        <f t="shared" si="17"/>
        <v>68678</v>
      </c>
      <c r="X36" s="65">
        <f t="shared" si="17"/>
        <v>249299</v>
      </c>
      <c r="Y36" s="65">
        <f t="shared" ref="Y36:AD36" si="18">+Y27+Y31</f>
        <v>96574</v>
      </c>
      <c r="Z36" s="65">
        <f t="shared" si="18"/>
        <v>93926</v>
      </c>
      <c r="AA36" s="65">
        <f t="shared" si="18"/>
        <v>124929.99999999997</v>
      </c>
      <c r="AB36" s="65">
        <f t="shared" si="18"/>
        <v>98117.100150000042</v>
      </c>
      <c r="AC36" s="65">
        <f t="shared" si="18"/>
        <v>413547.10015000013</v>
      </c>
      <c r="AD36" s="65">
        <f t="shared" si="18"/>
        <v>100900.00000000006</v>
      </c>
      <c r="AE36" s="65">
        <f>+AE27+AE31</f>
        <v>124083.66996</v>
      </c>
      <c r="AF36" s="65">
        <f>+AF27+AF31</f>
        <v>136771.74613999901</v>
      </c>
      <c r="AG36" s="168">
        <v>123507.14251335786</v>
      </c>
      <c r="AH36" s="168">
        <v>485263</v>
      </c>
      <c r="AI36" s="168">
        <v>132720</v>
      </c>
    </row>
    <row r="37" spans="1:35" s="122" customFormat="1" ht="13" x14ac:dyDescent="0.3">
      <c r="A37" s="120"/>
      <c r="B37" s="120" t="s">
        <v>44</v>
      </c>
      <c r="C37" s="120" t="s">
        <v>45</v>
      </c>
      <c r="D37" s="121">
        <v>-51269</v>
      </c>
      <c r="E37" s="121">
        <v>-10304</v>
      </c>
      <c r="F37" s="121">
        <v>-13349</v>
      </c>
      <c r="G37" s="121">
        <v>-15428</v>
      </c>
      <c r="H37" s="121">
        <v>-10839</v>
      </c>
      <c r="I37" s="121">
        <v>-49920</v>
      </c>
      <c r="J37" s="121">
        <v>-51321</v>
      </c>
      <c r="K37" s="121">
        <v>-10170</v>
      </c>
      <c r="L37" s="121">
        <v>-21008</v>
      </c>
      <c r="M37" s="121">
        <v>-15931</v>
      </c>
      <c r="N37" s="121">
        <v>-98430</v>
      </c>
      <c r="O37" s="121">
        <v>-21221</v>
      </c>
      <c r="P37" s="121">
        <v>-34838</v>
      </c>
      <c r="Q37" s="121">
        <v>-45656</v>
      </c>
      <c r="R37" s="121">
        <v>-46705</v>
      </c>
      <c r="S37" s="121">
        <v>-148420</v>
      </c>
      <c r="T37" s="121">
        <v>-36163</v>
      </c>
      <c r="U37" s="121">
        <v>-24601</v>
      </c>
      <c r="V37" s="121">
        <v>-30980</v>
      </c>
      <c r="W37" s="121">
        <v>-40979</v>
      </c>
      <c r="X37" s="121">
        <f t="shared" ref="X37:X44" si="19">SUM(T37:W37)</f>
        <v>-132723</v>
      </c>
      <c r="Y37" s="121">
        <v>-37847</v>
      </c>
      <c r="Z37" s="121">
        <v>-34590</v>
      </c>
      <c r="AA37" s="121">
        <v>-45264</v>
      </c>
      <c r="AB37" s="121">
        <v>-46482</v>
      </c>
      <c r="AC37" s="121">
        <f t="shared" ref="AC37:AC44" si="20">SUM(Y37:AB37)</f>
        <v>-164183</v>
      </c>
      <c r="AD37" s="121">
        <v>-43344</v>
      </c>
      <c r="AE37" s="121">
        <v>-45280.669959999999</v>
      </c>
      <c r="AF37" s="121">
        <v>-50333</v>
      </c>
      <c r="AG37" s="169">
        <v>-49019.67240000001</v>
      </c>
      <c r="AH37" s="169">
        <v>-187977.67240000001</v>
      </c>
      <c r="AI37" s="169">
        <v>-45161</v>
      </c>
    </row>
    <row r="38" spans="1:35" s="17" customFormat="1" ht="13" x14ac:dyDescent="0.3">
      <c r="A38" s="16"/>
      <c r="B38" s="16" t="s">
        <v>46</v>
      </c>
      <c r="C38" s="16" t="s">
        <v>47</v>
      </c>
      <c r="D38" s="65">
        <v>-6863</v>
      </c>
      <c r="E38" s="65">
        <v>-2881</v>
      </c>
      <c r="F38" s="65">
        <v>5264</v>
      </c>
      <c r="G38" s="65">
        <v>1465</v>
      </c>
      <c r="H38" s="65">
        <v>1974</v>
      </c>
      <c r="I38" s="65">
        <v>5822</v>
      </c>
      <c r="J38" s="65">
        <v>-932</v>
      </c>
      <c r="K38" s="65">
        <v>1601</v>
      </c>
      <c r="L38" s="65">
        <v>2142</v>
      </c>
      <c r="M38" s="65">
        <v>-4340</v>
      </c>
      <c r="N38" s="65">
        <v>-1529</v>
      </c>
      <c r="O38" s="65">
        <v>-899</v>
      </c>
      <c r="P38" s="65">
        <v>15694</v>
      </c>
      <c r="Q38" s="65">
        <v>-405</v>
      </c>
      <c r="R38" s="65">
        <v>-4080</v>
      </c>
      <c r="S38" s="65">
        <v>10310</v>
      </c>
      <c r="T38" s="65">
        <v>2745</v>
      </c>
      <c r="U38" s="65">
        <v>-1013</v>
      </c>
      <c r="V38" s="65">
        <v>1896</v>
      </c>
      <c r="W38" s="65">
        <v>60078</v>
      </c>
      <c r="X38" s="65">
        <f t="shared" si="19"/>
        <v>63706</v>
      </c>
      <c r="Y38" s="65">
        <v>7620</v>
      </c>
      <c r="Z38" s="65">
        <v>2538</v>
      </c>
      <c r="AA38" s="65">
        <v>6182</v>
      </c>
      <c r="AB38" s="65">
        <v>-7273</v>
      </c>
      <c r="AC38" s="65">
        <f t="shared" si="20"/>
        <v>9067</v>
      </c>
      <c r="AD38" s="65">
        <v>-2034</v>
      </c>
      <c r="AE38" s="65">
        <v>772</v>
      </c>
      <c r="AF38" s="65">
        <v>-2982</v>
      </c>
      <c r="AG38" s="168">
        <v>10095</v>
      </c>
      <c r="AH38" s="168">
        <v>5851</v>
      </c>
      <c r="AI38" s="168">
        <v>-809</v>
      </c>
    </row>
    <row r="39" spans="1:35" s="122" customFormat="1" ht="13" x14ac:dyDescent="0.3">
      <c r="A39" s="120"/>
      <c r="B39" s="120" t="s">
        <v>48</v>
      </c>
      <c r="C39" s="120" t="s">
        <v>49</v>
      </c>
      <c r="D39" s="121">
        <v>-1134</v>
      </c>
      <c r="E39" s="121">
        <v>-35</v>
      </c>
      <c r="F39" s="121">
        <v>7</v>
      </c>
      <c r="G39" s="121">
        <v>456</v>
      </c>
      <c r="H39" s="121">
        <v>150</v>
      </c>
      <c r="I39" s="121">
        <v>578</v>
      </c>
      <c r="J39" s="121">
        <v>102</v>
      </c>
      <c r="K39" s="121">
        <v>28</v>
      </c>
      <c r="L39" s="121">
        <v>215</v>
      </c>
      <c r="M39" s="121">
        <v>379</v>
      </c>
      <c r="N39" s="121">
        <v>724</v>
      </c>
      <c r="O39" s="121">
        <v>-1</v>
      </c>
      <c r="P39" s="121">
        <v>-5637</v>
      </c>
      <c r="Q39" s="121">
        <v>9569</v>
      </c>
      <c r="R39" s="121">
        <v>3789</v>
      </c>
      <c r="S39" s="121">
        <v>7720</v>
      </c>
      <c r="T39" s="121">
        <v>2973</v>
      </c>
      <c r="U39" s="121">
        <v>3062</v>
      </c>
      <c r="V39" s="121">
        <v>1779</v>
      </c>
      <c r="W39" s="121">
        <v>3246</v>
      </c>
      <c r="X39" s="121">
        <f t="shared" si="19"/>
        <v>11060</v>
      </c>
      <c r="Y39" s="121">
        <v>4470</v>
      </c>
      <c r="Z39" s="121">
        <v>2332</v>
      </c>
      <c r="AA39" s="121">
        <v>5237</v>
      </c>
      <c r="AB39" s="121">
        <v>2648</v>
      </c>
      <c r="AC39" s="121">
        <f t="shared" si="20"/>
        <v>14687</v>
      </c>
      <c r="AD39" s="121">
        <v>4179</v>
      </c>
      <c r="AE39" s="121">
        <v>1578</v>
      </c>
      <c r="AF39" s="121">
        <v>1024</v>
      </c>
      <c r="AG39" s="169">
        <v>34</v>
      </c>
      <c r="AH39" s="169">
        <v>6815</v>
      </c>
      <c r="AI39" s="169">
        <v>-461</v>
      </c>
    </row>
    <row r="40" spans="1:35" s="17" customFormat="1" ht="13" x14ac:dyDescent="0.3">
      <c r="A40" s="16"/>
      <c r="B40" s="16" t="s">
        <v>52</v>
      </c>
      <c r="C40" s="16" t="s">
        <v>53</v>
      </c>
      <c r="D40" s="65">
        <v>10890</v>
      </c>
      <c r="E40" s="65">
        <v>-26094</v>
      </c>
      <c r="F40" s="65">
        <v>6009</v>
      </c>
      <c r="G40" s="65">
        <v>-17620</v>
      </c>
      <c r="H40" s="65">
        <v>-18152</v>
      </c>
      <c r="I40" s="65">
        <v>-55857</v>
      </c>
      <c r="J40" s="65">
        <v>-19420</v>
      </c>
      <c r="K40" s="65">
        <v>-13626</v>
      </c>
      <c r="L40" s="65">
        <v>-14234</v>
      </c>
      <c r="M40" s="65">
        <v>-51897</v>
      </c>
      <c r="N40" s="65">
        <v>-99177</v>
      </c>
      <c r="O40" s="65">
        <v>-27035</v>
      </c>
      <c r="P40" s="65">
        <v>-10694</v>
      </c>
      <c r="Q40" s="65">
        <v>-36936</v>
      </c>
      <c r="R40" s="65">
        <v>-79694</v>
      </c>
      <c r="S40" s="65">
        <v>-154359</v>
      </c>
      <c r="T40" s="65">
        <v>-47796</v>
      </c>
      <c r="U40" s="65">
        <v>-36949</v>
      </c>
      <c r="V40" s="65">
        <v>-34485</v>
      </c>
      <c r="W40" s="65">
        <v>426</v>
      </c>
      <c r="X40" s="65">
        <f t="shared" si="19"/>
        <v>-118804</v>
      </c>
      <c r="Y40" s="65">
        <v>-38880</v>
      </c>
      <c r="Z40" s="65">
        <v>-36100</v>
      </c>
      <c r="AA40" s="65">
        <v>-46733</v>
      </c>
      <c r="AB40" s="65">
        <v>-49057</v>
      </c>
      <c r="AC40" s="65">
        <f t="shared" si="20"/>
        <v>-170770</v>
      </c>
      <c r="AD40" s="65">
        <v>-55235</v>
      </c>
      <c r="AE40" s="65">
        <v>-48655</v>
      </c>
      <c r="AF40" s="65">
        <v>-53755</v>
      </c>
      <c r="AG40" s="168">
        <v>-55437</v>
      </c>
      <c r="AH40" s="168">
        <v>-213082</v>
      </c>
      <c r="AI40" s="168">
        <v>-51410</v>
      </c>
    </row>
    <row r="41" spans="1:35" s="122" customFormat="1" ht="13" x14ac:dyDescent="0.3">
      <c r="A41" s="120"/>
      <c r="B41" s="120" t="s">
        <v>54</v>
      </c>
      <c r="C41" s="120" t="s">
        <v>55</v>
      </c>
      <c r="D41" s="121">
        <v>-68382</v>
      </c>
      <c r="E41" s="121">
        <v>0</v>
      </c>
      <c r="F41" s="121">
        <v>0</v>
      </c>
      <c r="G41" s="121">
        <v>0</v>
      </c>
      <c r="H41" s="121">
        <v>0</v>
      </c>
      <c r="I41" s="121">
        <v>0</v>
      </c>
      <c r="J41" s="121">
        <v>0</v>
      </c>
      <c r="K41" s="121">
        <v>0</v>
      </c>
      <c r="L41" s="121">
        <v>0</v>
      </c>
      <c r="M41" s="121">
        <v>0</v>
      </c>
      <c r="N41" s="121">
        <v>0</v>
      </c>
      <c r="O41" s="121">
        <v>0</v>
      </c>
      <c r="P41" s="121">
        <v>0</v>
      </c>
      <c r="Q41" s="121">
        <v>0</v>
      </c>
      <c r="R41" s="121">
        <v>0</v>
      </c>
      <c r="S41" s="121">
        <v>0</v>
      </c>
      <c r="T41" s="121">
        <v>0</v>
      </c>
      <c r="U41" s="121">
        <v>0</v>
      </c>
      <c r="V41" s="121">
        <v>0</v>
      </c>
      <c r="W41" s="121">
        <v>0</v>
      </c>
      <c r="X41" s="121">
        <f t="shared" si="19"/>
        <v>0</v>
      </c>
      <c r="Y41" s="121">
        <v>0</v>
      </c>
      <c r="Z41" s="121">
        <v>0</v>
      </c>
      <c r="AA41" s="121">
        <v>0</v>
      </c>
      <c r="AB41" s="121">
        <v>0</v>
      </c>
      <c r="AC41" s="121">
        <f t="shared" si="20"/>
        <v>0</v>
      </c>
      <c r="AD41" s="121">
        <v>0</v>
      </c>
      <c r="AE41" s="121">
        <v>0</v>
      </c>
      <c r="AF41" s="121">
        <v>0</v>
      </c>
      <c r="AG41" s="169">
        <v>0</v>
      </c>
      <c r="AH41" s="169">
        <v>0</v>
      </c>
      <c r="AI41" s="169">
        <v>0</v>
      </c>
    </row>
    <row r="42" spans="1:35" s="17" customFormat="1" ht="13" x14ac:dyDescent="0.3">
      <c r="A42" s="16"/>
      <c r="B42" s="16" t="s">
        <v>56</v>
      </c>
      <c r="C42" s="16" t="s">
        <v>57</v>
      </c>
      <c r="D42" s="65">
        <v>-10292</v>
      </c>
      <c r="E42" s="65">
        <v>-5639</v>
      </c>
      <c r="F42" s="65">
        <v>30616</v>
      </c>
      <c r="G42" s="65">
        <v>5665</v>
      </c>
      <c r="H42" s="65">
        <v>16779</v>
      </c>
      <c r="I42" s="65">
        <v>47421</v>
      </c>
      <c r="J42" s="65">
        <v>-43330</v>
      </c>
      <c r="K42" s="65">
        <v>11336</v>
      </c>
      <c r="L42" s="65">
        <v>5574</v>
      </c>
      <c r="M42" s="65">
        <v>6925</v>
      </c>
      <c r="N42" s="65">
        <v>-19495</v>
      </c>
      <c r="O42" s="65">
        <v>-15143</v>
      </c>
      <c r="P42" s="65">
        <v>8639</v>
      </c>
      <c r="Q42" s="65">
        <v>-14846</v>
      </c>
      <c r="R42" s="65">
        <v>-75504</v>
      </c>
      <c r="S42" s="65">
        <v>-96854</v>
      </c>
      <c r="T42" s="65">
        <v>-35967</v>
      </c>
      <c r="U42" s="65">
        <v>7039</v>
      </c>
      <c r="V42" s="65">
        <v>10017</v>
      </c>
      <c r="W42" s="65">
        <v>89827</v>
      </c>
      <c r="X42" s="65">
        <f t="shared" si="19"/>
        <v>70916</v>
      </c>
      <c r="Y42" s="65">
        <v>31937</v>
      </c>
      <c r="Z42" s="65">
        <v>28106.280600001279</v>
      </c>
      <c r="AA42" s="65">
        <v>44352</v>
      </c>
      <c r="AB42" s="65">
        <v>-2046.8998499999871</v>
      </c>
      <c r="AC42" s="65">
        <f t="shared" si="20"/>
        <v>102348.38075000129</v>
      </c>
      <c r="AD42" s="65">
        <v>4466</v>
      </c>
      <c r="AE42" s="65">
        <f>+AE36+AE37+AE38+AE39+AE40+AE41</f>
        <v>32498</v>
      </c>
      <c r="AF42" s="65">
        <f>+AF36+AF37+AF38+AF39+AF40+AF41</f>
        <v>30725.746139999013</v>
      </c>
      <c r="AG42" s="168">
        <v>29179.470113357849</v>
      </c>
      <c r="AH42" s="168">
        <v>96869.216253356863</v>
      </c>
      <c r="AI42" s="168">
        <v>34879</v>
      </c>
    </row>
    <row r="43" spans="1:35" s="122" customFormat="1" ht="13" x14ac:dyDescent="0.3">
      <c r="A43" s="120"/>
      <c r="B43" s="120" t="s">
        <v>58</v>
      </c>
      <c r="C43" s="120" t="s">
        <v>59</v>
      </c>
      <c r="D43" s="121">
        <v>-6289</v>
      </c>
      <c r="E43" s="121">
        <v>-3524</v>
      </c>
      <c r="F43" s="121">
        <v>-5593</v>
      </c>
      <c r="G43" s="121">
        <v>-4350</v>
      </c>
      <c r="H43" s="121">
        <v>-10344</v>
      </c>
      <c r="I43" s="121">
        <v>-23811</v>
      </c>
      <c r="J43" s="121">
        <v>-2195</v>
      </c>
      <c r="K43" s="121">
        <v>-4937</v>
      </c>
      <c r="L43" s="121">
        <v>-6923</v>
      </c>
      <c r="M43" s="121">
        <v>-21959</v>
      </c>
      <c r="N43" s="121">
        <v>-36014</v>
      </c>
      <c r="O43" s="121">
        <v>-4231</v>
      </c>
      <c r="P43" s="121">
        <v>-18959</v>
      </c>
      <c r="Q43" s="121">
        <v>-14780</v>
      </c>
      <c r="R43" s="121">
        <v>-8640</v>
      </c>
      <c r="S43" s="121">
        <v>-46610</v>
      </c>
      <c r="T43" s="121">
        <v>-7213</v>
      </c>
      <c r="U43" s="121">
        <v>-9890</v>
      </c>
      <c r="V43" s="121">
        <v>-6123</v>
      </c>
      <c r="W43" s="121">
        <v>2477</v>
      </c>
      <c r="X43" s="121">
        <f t="shared" si="19"/>
        <v>-20749</v>
      </c>
      <c r="Y43" s="121">
        <v>-1743</v>
      </c>
      <c r="Z43" s="121">
        <v>-16947</v>
      </c>
      <c r="AA43" s="121">
        <v>-3096</v>
      </c>
      <c r="AB43" s="121">
        <v>-6086</v>
      </c>
      <c r="AC43" s="121">
        <f t="shared" si="20"/>
        <v>-27872</v>
      </c>
      <c r="AD43" s="121">
        <v>-8023</v>
      </c>
      <c r="AE43" s="121">
        <v>-5741</v>
      </c>
      <c r="AF43" s="121">
        <v>-3384</v>
      </c>
      <c r="AG43" s="169">
        <v>-5759.5</v>
      </c>
      <c r="AH43" s="169">
        <v>-22907.5</v>
      </c>
      <c r="AI43" s="169">
        <v>-12257</v>
      </c>
    </row>
    <row r="44" spans="1:35" s="20" customFormat="1" ht="13" x14ac:dyDescent="0.3">
      <c r="A44" s="19"/>
      <c r="B44" s="19" t="s">
        <v>60</v>
      </c>
      <c r="C44" s="19" t="s">
        <v>228</v>
      </c>
      <c r="D44" s="66">
        <v>-16581</v>
      </c>
      <c r="E44" s="66">
        <v>-9163</v>
      </c>
      <c r="F44" s="66">
        <v>25023</v>
      </c>
      <c r="G44" s="66">
        <v>1315</v>
      </c>
      <c r="H44" s="66">
        <v>6435</v>
      </c>
      <c r="I44" s="66">
        <v>23610</v>
      </c>
      <c r="J44" s="66">
        <v>-45525</v>
      </c>
      <c r="K44" s="66">
        <v>6399</v>
      </c>
      <c r="L44" s="66">
        <v>-1349</v>
      </c>
      <c r="M44" s="66">
        <v>-15034</v>
      </c>
      <c r="N44" s="66">
        <v>-55509</v>
      </c>
      <c r="O44" s="66">
        <v>-19374</v>
      </c>
      <c r="P44" s="66">
        <v>-10320</v>
      </c>
      <c r="Q44" s="66">
        <v>-29626</v>
      </c>
      <c r="R44" s="66">
        <v>-84144</v>
      </c>
      <c r="S44" s="66">
        <v>-143464</v>
      </c>
      <c r="T44" s="66">
        <v>-43180</v>
      </c>
      <c r="U44" s="66">
        <v>-2851</v>
      </c>
      <c r="V44" s="66">
        <v>3894</v>
      </c>
      <c r="W44" s="66">
        <v>92304</v>
      </c>
      <c r="X44" s="66">
        <f t="shared" si="19"/>
        <v>50167</v>
      </c>
      <c r="Y44" s="66">
        <v>30194</v>
      </c>
      <c r="Z44" s="66">
        <v>11159.280600001279</v>
      </c>
      <c r="AA44" s="66">
        <v>41256</v>
      </c>
      <c r="AB44" s="66">
        <v>-8132.8998499999871</v>
      </c>
      <c r="AC44" s="66">
        <f t="shared" si="20"/>
        <v>74476.380750001292</v>
      </c>
      <c r="AD44" s="66">
        <v>-3557</v>
      </c>
      <c r="AE44" s="66">
        <v>26757</v>
      </c>
      <c r="AF44" s="66">
        <v>27342</v>
      </c>
      <c r="AG44" s="172">
        <v>23421</v>
      </c>
      <c r="AH44" s="172">
        <v>73963</v>
      </c>
      <c r="AI44" s="172">
        <v>22622</v>
      </c>
    </row>
    <row r="45" spans="1:35" s="122" customFormat="1" ht="13" x14ac:dyDescent="0.3">
      <c r="A45" s="120"/>
      <c r="B45" s="120" t="s">
        <v>330</v>
      </c>
      <c r="C45" s="120" t="s">
        <v>329</v>
      </c>
      <c r="D45" s="165">
        <f t="shared" ref="D45:AE45" si="21">+D46</f>
        <v>0</v>
      </c>
      <c r="E45" s="165">
        <f t="shared" si="21"/>
        <v>0</v>
      </c>
      <c r="F45" s="165">
        <f>+F46</f>
        <v>0</v>
      </c>
      <c r="G45" s="165">
        <f t="shared" si="21"/>
        <v>0</v>
      </c>
      <c r="H45" s="165">
        <f t="shared" si="21"/>
        <v>0</v>
      </c>
      <c r="I45" s="165">
        <f t="shared" si="21"/>
        <v>0</v>
      </c>
      <c r="J45" s="165">
        <f t="shared" si="21"/>
        <v>0</v>
      </c>
      <c r="K45" s="165">
        <f t="shared" si="21"/>
        <v>0</v>
      </c>
      <c r="L45" s="165">
        <f t="shared" si="21"/>
        <v>0</v>
      </c>
      <c r="M45" s="165">
        <f t="shared" si="21"/>
        <v>0</v>
      </c>
      <c r="N45" s="165">
        <f t="shared" si="21"/>
        <v>0</v>
      </c>
      <c r="O45" s="165">
        <f t="shared" si="21"/>
        <v>0</v>
      </c>
      <c r="P45" s="165">
        <f t="shared" si="21"/>
        <v>0</v>
      </c>
      <c r="Q45" s="165">
        <f t="shared" si="21"/>
        <v>0</v>
      </c>
      <c r="R45" s="165">
        <f t="shared" si="21"/>
        <v>0</v>
      </c>
      <c r="S45" s="165">
        <f t="shared" si="21"/>
        <v>0</v>
      </c>
      <c r="T45" s="165">
        <f t="shared" si="21"/>
        <v>0</v>
      </c>
      <c r="U45" s="165">
        <f t="shared" si="21"/>
        <v>0</v>
      </c>
      <c r="V45" s="165">
        <f t="shared" si="21"/>
        <v>0</v>
      </c>
      <c r="W45" s="165">
        <f t="shared" si="21"/>
        <v>0</v>
      </c>
      <c r="X45" s="165">
        <f t="shared" si="21"/>
        <v>0</v>
      </c>
      <c r="Y45" s="165">
        <f t="shared" si="21"/>
        <v>0</v>
      </c>
      <c r="Z45" s="165">
        <f t="shared" si="21"/>
        <v>0</v>
      </c>
      <c r="AA45" s="165">
        <f t="shared" si="21"/>
        <v>0</v>
      </c>
      <c r="AB45" s="165">
        <f t="shared" si="21"/>
        <v>0</v>
      </c>
      <c r="AC45" s="165">
        <f t="shared" si="21"/>
        <v>0</v>
      </c>
      <c r="AD45" s="165">
        <f t="shared" si="21"/>
        <v>0</v>
      </c>
      <c r="AE45" s="165">
        <f t="shared" si="21"/>
        <v>0</v>
      </c>
      <c r="AF45" s="121">
        <f>+AF46</f>
        <v>14533</v>
      </c>
      <c r="AG45" s="169">
        <v>19554</v>
      </c>
      <c r="AH45" s="169">
        <v>34087</v>
      </c>
      <c r="AI45" s="169"/>
    </row>
    <row r="46" spans="1:35" s="112" customFormat="1" ht="13" x14ac:dyDescent="0.3">
      <c r="A46" s="110"/>
      <c r="B46" s="158" t="s">
        <v>325</v>
      </c>
      <c r="C46" s="158" t="s">
        <v>331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>
        <f>+SUM(AF47:AF48)</f>
        <v>14533</v>
      </c>
      <c r="AG46" s="170">
        <v>19554</v>
      </c>
      <c r="AH46" s="169">
        <v>34087</v>
      </c>
      <c r="AI46" s="169"/>
    </row>
    <row r="47" spans="1:35" s="112" customFormat="1" ht="13" x14ac:dyDescent="0.3">
      <c r="A47" s="110"/>
      <c r="B47" s="159" t="s">
        <v>326</v>
      </c>
      <c r="C47" s="159" t="s">
        <v>332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>
        <v>5973</v>
      </c>
      <c r="AG47" s="170">
        <v>4493</v>
      </c>
      <c r="AH47" s="170">
        <v>10466</v>
      </c>
      <c r="AI47" s="170"/>
    </row>
    <row r="48" spans="1:35" s="112" customFormat="1" ht="13" x14ac:dyDescent="0.3">
      <c r="A48" s="110"/>
      <c r="B48" s="159" t="s">
        <v>327</v>
      </c>
      <c r="C48" s="159" t="s">
        <v>333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>
        <v>8560</v>
      </c>
      <c r="AG48" s="170">
        <v>15061</v>
      </c>
      <c r="AH48" s="170">
        <v>23621</v>
      </c>
      <c r="AI48" s="170"/>
    </row>
    <row r="49" spans="1:35" s="20" customFormat="1" ht="13" x14ac:dyDescent="0.3">
      <c r="A49" s="19"/>
      <c r="B49" s="19" t="s">
        <v>328</v>
      </c>
      <c r="C49" s="19"/>
      <c r="D49" s="66">
        <f>+SUM(D44,D45)</f>
        <v>-16581</v>
      </c>
      <c r="E49" s="66">
        <f t="shared" ref="E49:AB49" si="22">+SUM(E44,E45)</f>
        <v>-9163</v>
      </c>
      <c r="F49" s="66">
        <f t="shared" si="22"/>
        <v>25023</v>
      </c>
      <c r="G49" s="66">
        <f t="shared" si="22"/>
        <v>1315</v>
      </c>
      <c r="H49" s="66">
        <f t="shared" si="22"/>
        <v>6435</v>
      </c>
      <c r="I49" s="66">
        <f t="shared" si="22"/>
        <v>23610</v>
      </c>
      <c r="J49" s="66">
        <f t="shared" si="22"/>
        <v>-45525</v>
      </c>
      <c r="K49" s="66">
        <f t="shared" si="22"/>
        <v>6399</v>
      </c>
      <c r="L49" s="66">
        <f t="shared" si="22"/>
        <v>-1349</v>
      </c>
      <c r="M49" s="66">
        <f t="shared" si="22"/>
        <v>-15034</v>
      </c>
      <c r="N49" s="66">
        <f t="shared" si="22"/>
        <v>-55509</v>
      </c>
      <c r="O49" s="66">
        <f t="shared" si="22"/>
        <v>-19374</v>
      </c>
      <c r="P49" s="66">
        <f t="shared" si="22"/>
        <v>-10320</v>
      </c>
      <c r="Q49" s="66">
        <f t="shared" si="22"/>
        <v>-29626</v>
      </c>
      <c r="R49" s="66">
        <f t="shared" si="22"/>
        <v>-84144</v>
      </c>
      <c r="S49" s="66">
        <f t="shared" si="22"/>
        <v>-143464</v>
      </c>
      <c r="T49" s="66">
        <f t="shared" si="22"/>
        <v>-43180</v>
      </c>
      <c r="U49" s="66">
        <f t="shared" si="22"/>
        <v>-2851</v>
      </c>
      <c r="V49" s="66">
        <f t="shared" si="22"/>
        <v>3894</v>
      </c>
      <c r="W49" s="66">
        <f t="shared" si="22"/>
        <v>92304</v>
      </c>
      <c r="X49" s="66">
        <f t="shared" si="22"/>
        <v>50167</v>
      </c>
      <c r="Y49" s="66">
        <f t="shared" si="22"/>
        <v>30194</v>
      </c>
      <c r="Z49" s="66">
        <f t="shared" si="22"/>
        <v>11159.280600001279</v>
      </c>
      <c r="AA49" s="66">
        <f t="shared" si="22"/>
        <v>41256</v>
      </c>
      <c r="AB49" s="66">
        <f t="shared" si="22"/>
        <v>-8132.8998499999871</v>
      </c>
      <c r="AC49" s="66">
        <f>+SUM(AC44,AC45)</f>
        <v>74476.380750001292</v>
      </c>
      <c r="AD49" s="66">
        <f>+SUM(AD44,AD45)</f>
        <v>-3557</v>
      </c>
      <c r="AE49" s="66">
        <f>+SUM(AE44,AE45)</f>
        <v>26757</v>
      </c>
      <c r="AF49" s="66">
        <f>+SUM(AF44,AF45)</f>
        <v>41875</v>
      </c>
      <c r="AG49" s="172">
        <v>42975</v>
      </c>
      <c r="AH49" s="172">
        <v>108050</v>
      </c>
      <c r="AI49" s="172">
        <v>22622</v>
      </c>
    </row>
    <row r="50" spans="1:35" s="15" customFormat="1" ht="13" x14ac:dyDescent="0.3">
      <c r="A50" s="59"/>
      <c r="B50" s="59"/>
      <c r="C50" s="59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</row>
    <row r="51" spans="1:35" s="6" customFormat="1" ht="13" x14ac:dyDescent="0.3">
      <c r="A51" s="21" t="s">
        <v>0</v>
      </c>
      <c r="B51" s="21" t="s">
        <v>61</v>
      </c>
      <c r="C51" s="21" t="s">
        <v>62</v>
      </c>
      <c r="D51" s="6" t="str">
        <f t="shared" ref="D51:AD51" si="23">+D$6</f>
        <v>2019 (FY)</v>
      </c>
      <c r="E51" s="6" t="str">
        <f t="shared" si="23"/>
        <v>1T20</v>
      </c>
      <c r="F51" s="6" t="str">
        <f t="shared" si="23"/>
        <v>2T20</v>
      </c>
      <c r="G51" s="6" t="str">
        <f t="shared" si="23"/>
        <v>3T20</v>
      </c>
      <c r="H51" s="6" t="str">
        <f t="shared" si="23"/>
        <v>4T20</v>
      </c>
      <c r="I51" s="6" t="str">
        <f t="shared" si="23"/>
        <v>2020 (FY)</v>
      </c>
      <c r="J51" s="6" t="str">
        <f t="shared" si="23"/>
        <v>1T21</v>
      </c>
      <c r="K51" s="6" t="str">
        <f t="shared" si="23"/>
        <v>2T21</v>
      </c>
      <c r="L51" s="6" t="str">
        <f t="shared" si="23"/>
        <v>3T21</v>
      </c>
      <c r="M51" s="6" t="str">
        <f t="shared" si="23"/>
        <v>4T21</v>
      </c>
      <c r="N51" s="6" t="str">
        <f t="shared" si="23"/>
        <v>2021 (FY)</v>
      </c>
      <c r="O51" s="6" t="str">
        <f t="shared" si="23"/>
        <v>1T22</v>
      </c>
      <c r="P51" s="6" t="str">
        <f t="shared" si="23"/>
        <v>2T22</v>
      </c>
      <c r="Q51" s="6" t="str">
        <f t="shared" si="23"/>
        <v>3T22</v>
      </c>
      <c r="R51" s="6" t="str">
        <f t="shared" si="23"/>
        <v>4T22</v>
      </c>
      <c r="S51" s="6" t="str">
        <f t="shared" si="23"/>
        <v>2022 (FY)</v>
      </c>
      <c r="T51" s="6" t="str">
        <f t="shared" si="23"/>
        <v>1T23</v>
      </c>
      <c r="U51" s="6" t="str">
        <f t="shared" si="23"/>
        <v>2T23</v>
      </c>
      <c r="V51" s="6" t="str">
        <f t="shared" si="23"/>
        <v>3T23</v>
      </c>
      <c r="W51" s="6" t="str">
        <f t="shared" si="23"/>
        <v>4T23</v>
      </c>
      <c r="X51" s="6" t="str">
        <f t="shared" si="23"/>
        <v>2023 (FY)</v>
      </c>
      <c r="Y51" s="6" t="str">
        <f t="shared" si="23"/>
        <v>1T24</v>
      </c>
      <c r="Z51" s="6" t="str">
        <f t="shared" si="23"/>
        <v>2T24</v>
      </c>
      <c r="AA51" s="6" t="str">
        <f t="shared" si="23"/>
        <v>3T24</v>
      </c>
      <c r="AB51" s="6" t="str">
        <f t="shared" si="23"/>
        <v>4T24</v>
      </c>
      <c r="AC51" s="6" t="str">
        <f t="shared" si="23"/>
        <v>2024 (FY)</v>
      </c>
      <c r="AD51" s="6" t="str">
        <f t="shared" si="23"/>
        <v>1T25</v>
      </c>
      <c r="AE51" s="6" t="str">
        <f>+AE$6</f>
        <v>2T25</v>
      </c>
      <c r="AF51" s="6" t="s">
        <v>323</v>
      </c>
      <c r="AG51" s="6" t="s">
        <v>336</v>
      </c>
      <c r="AH51" s="6" t="str">
        <f>+AH$6</f>
        <v>2025(FY)</v>
      </c>
      <c r="AI51" s="6" t="s">
        <v>354</v>
      </c>
    </row>
    <row r="52" spans="1:35" s="6" customFormat="1" ht="13" x14ac:dyDescent="0.3">
      <c r="A52" s="21"/>
      <c r="B52" s="5" t="s">
        <v>319</v>
      </c>
      <c r="C52" s="5" t="s">
        <v>318</v>
      </c>
      <c r="D52" s="6" t="str">
        <f t="shared" ref="D52:AD52" si="24">+D$7</f>
        <v>2019 (FY)</v>
      </c>
      <c r="E52" s="6" t="str">
        <f t="shared" si="24"/>
        <v>1Q20</v>
      </c>
      <c r="F52" s="6" t="str">
        <f t="shared" si="24"/>
        <v>2Q20</v>
      </c>
      <c r="G52" s="6" t="str">
        <f t="shared" si="24"/>
        <v>3Q20</v>
      </c>
      <c r="H52" s="6" t="str">
        <f t="shared" si="24"/>
        <v>4Q20</v>
      </c>
      <c r="I52" s="6" t="str">
        <f t="shared" si="24"/>
        <v>2020 (FY)</v>
      </c>
      <c r="J52" s="6" t="str">
        <f t="shared" si="24"/>
        <v>1Q21</v>
      </c>
      <c r="K52" s="6" t="str">
        <f t="shared" si="24"/>
        <v>2Q21</v>
      </c>
      <c r="L52" s="6" t="str">
        <f t="shared" si="24"/>
        <v>3Q21</v>
      </c>
      <c r="M52" s="6" t="str">
        <f t="shared" si="24"/>
        <v>4Q21</v>
      </c>
      <c r="N52" s="6" t="str">
        <f t="shared" si="24"/>
        <v>2021 (FY)</v>
      </c>
      <c r="O52" s="6" t="str">
        <f t="shared" si="24"/>
        <v>1Q22</v>
      </c>
      <c r="P52" s="6" t="str">
        <f t="shared" si="24"/>
        <v>2Q22</v>
      </c>
      <c r="Q52" s="6" t="str">
        <f t="shared" si="24"/>
        <v>3Q22</v>
      </c>
      <c r="R52" s="6" t="str">
        <f t="shared" si="24"/>
        <v>4Q22</v>
      </c>
      <c r="S52" s="6" t="str">
        <f t="shared" si="24"/>
        <v>2022 (FY)</v>
      </c>
      <c r="T52" s="6" t="str">
        <f t="shared" si="24"/>
        <v>1Q23</v>
      </c>
      <c r="U52" s="6" t="str">
        <f t="shared" si="24"/>
        <v>2Q23</v>
      </c>
      <c r="V52" s="6" t="str">
        <f t="shared" si="24"/>
        <v>3Q23</v>
      </c>
      <c r="W52" s="6" t="str">
        <f t="shared" si="24"/>
        <v>4Q23</v>
      </c>
      <c r="X52" s="6" t="str">
        <f t="shared" si="24"/>
        <v>2023 (FY)</v>
      </c>
      <c r="Y52" s="6" t="str">
        <f t="shared" si="24"/>
        <v>1Q24</v>
      </c>
      <c r="Z52" s="6" t="str">
        <f t="shared" si="24"/>
        <v>2Q24</v>
      </c>
      <c r="AA52" s="6" t="str">
        <f t="shared" si="24"/>
        <v>3Q24</v>
      </c>
      <c r="AB52" s="6" t="str">
        <f t="shared" si="24"/>
        <v>4Q24</v>
      </c>
      <c r="AC52" s="6" t="str">
        <f t="shared" si="24"/>
        <v>2024 (FY)</v>
      </c>
      <c r="AD52" s="6" t="str">
        <f t="shared" si="24"/>
        <v>1Q25</v>
      </c>
      <c r="AE52" s="6" t="str">
        <f>+AE$7</f>
        <v>2Q25</v>
      </c>
      <c r="AF52" s="6" t="s">
        <v>324</v>
      </c>
      <c r="AG52" s="6" t="s">
        <v>337</v>
      </c>
      <c r="AH52" s="6" t="str">
        <f t="shared" ref="AH52" si="25">+AH$7</f>
        <v>2025 (FY)</v>
      </c>
      <c r="AI52" s="6" t="s">
        <v>355</v>
      </c>
    </row>
    <row r="53" spans="1:35" s="14" customFormat="1" ht="13" x14ac:dyDescent="0.3">
      <c r="A53" s="15"/>
      <c r="B53" s="15" t="s">
        <v>60</v>
      </c>
      <c r="C53" s="15" t="s">
        <v>228</v>
      </c>
      <c r="D53" s="61">
        <f>D$44</f>
        <v>-16581</v>
      </c>
      <c r="E53" s="61">
        <f>E$44</f>
        <v>-9163</v>
      </c>
      <c r="F53" s="61">
        <f>F$44</f>
        <v>25023</v>
      </c>
      <c r="G53" s="61">
        <f>G$44</f>
        <v>1315</v>
      </c>
      <c r="H53" s="61">
        <f>H$44</f>
        <v>6435</v>
      </c>
      <c r="I53" s="61">
        <f>SUM(E53:H53)</f>
        <v>23610</v>
      </c>
      <c r="J53" s="61">
        <f>J$44</f>
        <v>-45525</v>
      </c>
      <c r="K53" s="61">
        <f>K$44</f>
        <v>6399</v>
      </c>
      <c r="L53" s="61">
        <f>L$44</f>
        <v>-1349</v>
      </c>
      <c r="M53" s="61">
        <f>M$44</f>
        <v>-15034</v>
      </c>
      <c r="N53" s="61">
        <f>SUM(J53:M53)</f>
        <v>-55509</v>
      </c>
      <c r="O53" s="61">
        <f t="shared" ref="O53:AB53" si="26">O$44</f>
        <v>-19374</v>
      </c>
      <c r="P53" s="61">
        <f t="shared" si="26"/>
        <v>-10320</v>
      </c>
      <c r="Q53" s="61">
        <f t="shared" si="26"/>
        <v>-29626</v>
      </c>
      <c r="R53" s="61">
        <f t="shared" si="26"/>
        <v>-84144</v>
      </c>
      <c r="S53" s="61">
        <f t="shared" si="26"/>
        <v>-143464</v>
      </c>
      <c r="T53" s="61">
        <f t="shared" si="26"/>
        <v>-43180</v>
      </c>
      <c r="U53" s="61">
        <f t="shared" si="26"/>
        <v>-2851</v>
      </c>
      <c r="V53" s="61">
        <f t="shared" si="26"/>
        <v>3894</v>
      </c>
      <c r="W53" s="61">
        <f t="shared" si="26"/>
        <v>92304</v>
      </c>
      <c r="X53" s="61">
        <f>SUM(T53:W53)</f>
        <v>50167</v>
      </c>
      <c r="Y53" s="61">
        <f t="shared" si="26"/>
        <v>30194</v>
      </c>
      <c r="Z53" s="61">
        <f t="shared" si="26"/>
        <v>11159.280600001279</v>
      </c>
      <c r="AA53" s="61">
        <f t="shared" si="26"/>
        <v>41256</v>
      </c>
      <c r="AB53" s="61">
        <f t="shared" si="26"/>
        <v>-8132.8998499999871</v>
      </c>
      <c r="AC53" s="61">
        <f>SUM(Y53:AB53)</f>
        <v>74476.380750001292</v>
      </c>
      <c r="AD53" s="61">
        <f>AD$44</f>
        <v>-3557</v>
      </c>
      <c r="AE53" s="61">
        <f>AE$44</f>
        <v>26757</v>
      </c>
      <c r="AF53" s="61">
        <f>AF$44</f>
        <v>27342</v>
      </c>
      <c r="AG53" s="177">
        <f>'[1]EBITDA e Mg Bruta'!$C$5</f>
        <v>23420.295590000955</v>
      </c>
      <c r="AH53" s="177">
        <v>73962.327599999961</v>
      </c>
      <c r="AI53" s="177">
        <f>AI49</f>
        <v>22622</v>
      </c>
    </row>
    <row r="54" spans="1:35" s="12" customFormat="1" ht="13" x14ac:dyDescent="0.3">
      <c r="A54" s="11"/>
      <c r="B54" s="11" t="s">
        <v>58</v>
      </c>
      <c r="C54" s="11" t="s">
        <v>59</v>
      </c>
      <c r="D54" s="62">
        <f t="shared" ref="D54:W54" si="27">D$43</f>
        <v>-6289</v>
      </c>
      <c r="E54" s="62">
        <f t="shared" si="27"/>
        <v>-3524</v>
      </c>
      <c r="F54" s="62">
        <f t="shared" si="27"/>
        <v>-5593</v>
      </c>
      <c r="G54" s="62">
        <f t="shared" si="27"/>
        <v>-4350</v>
      </c>
      <c r="H54" s="62">
        <f t="shared" si="27"/>
        <v>-10344</v>
      </c>
      <c r="I54" s="62">
        <f>I$43</f>
        <v>-23811</v>
      </c>
      <c r="J54" s="62">
        <f t="shared" si="27"/>
        <v>-2195</v>
      </c>
      <c r="K54" s="62">
        <f t="shared" si="27"/>
        <v>-4937</v>
      </c>
      <c r="L54" s="62">
        <f t="shared" si="27"/>
        <v>-6923</v>
      </c>
      <c r="M54" s="62">
        <f t="shared" si="27"/>
        <v>-21959</v>
      </c>
      <c r="N54" s="62">
        <f t="shared" si="27"/>
        <v>-36014</v>
      </c>
      <c r="O54" s="62">
        <f t="shared" si="27"/>
        <v>-4231</v>
      </c>
      <c r="P54" s="62">
        <f t="shared" si="27"/>
        <v>-18959</v>
      </c>
      <c r="Q54" s="62">
        <f t="shared" si="27"/>
        <v>-14780</v>
      </c>
      <c r="R54" s="62">
        <f>R$43</f>
        <v>-8640</v>
      </c>
      <c r="S54" s="62">
        <f>S$43</f>
        <v>-46610</v>
      </c>
      <c r="T54" s="62">
        <f t="shared" si="27"/>
        <v>-7213</v>
      </c>
      <c r="U54" s="62">
        <f t="shared" si="27"/>
        <v>-9890</v>
      </c>
      <c r="V54" s="62">
        <f t="shared" si="27"/>
        <v>-6123</v>
      </c>
      <c r="W54" s="62">
        <f t="shared" si="27"/>
        <v>2477</v>
      </c>
      <c r="X54" s="62">
        <f>SUM(T54:W54)</f>
        <v>-20749</v>
      </c>
      <c r="Y54" s="62">
        <f t="shared" ref="Y54:AB54" si="28">Y$43</f>
        <v>-1743</v>
      </c>
      <c r="Z54" s="62">
        <f t="shared" si="28"/>
        <v>-16947</v>
      </c>
      <c r="AA54" s="62">
        <f t="shared" si="28"/>
        <v>-3096</v>
      </c>
      <c r="AB54" s="62">
        <f t="shared" si="28"/>
        <v>-6086</v>
      </c>
      <c r="AC54" s="62">
        <f>SUM(Y54:AB54)</f>
        <v>-27872</v>
      </c>
      <c r="AD54" s="62">
        <f>AD$43</f>
        <v>-8023</v>
      </c>
      <c r="AE54" s="62">
        <f>AE$43</f>
        <v>-5741</v>
      </c>
      <c r="AF54" s="62">
        <f>AF$43</f>
        <v>-3384</v>
      </c>
      <c r="AG54" s="171">
        <f>'[1]EBITDA e Mg Bruta'!$C$6</f>
        <v>5759</v>
      </c>
      <c r="AH54" s="171">
        <v>22907</v>
      </c>
      <c r="AI54" s="171">
        <v>12257</v>
      </c>
    </row>
    <row r="55" spans="1:35" s="14" customFormat="1" ht="13" x14ac:dyDescent="0.3">
      <c r="A55" s="15"/>
      <c r="B55" s="15" t="s">
        <v>63</v>
      </c>
      <c r="C55" s="15" t="s">
        <v>53</v>
      </c>
      <c r="D55" s="61">
        <f t="shared" ref="D55:W55" si="29">D$40</f>
        <v>10890</v>
      </c>
      <c r="E55" s="61">
        <f t="shared" si="29"/>
        <v>-26094</v>
      </c>
      <c r="F55" s="61">
        <f t="shared" si="29"/>
        <v>6009</v>
      </c>
      <c r="G55" s="61">
        <f t="shared" si="29"/>
        <v>-17620</v>
      </c>
      <c r="H55" s="61">
        <f t="shared" si="29"/>
        <v>-18152</v>
      </c>
      <c r="I55" s="61">
        <f>I$40</f>
        <v>-55857</v>
      </c>
      <c r="J55" s="61">
        <f t="shared" si="29"/>
        <v>-19420</v>
      </c>
      <c r="K55" s="61">
        <f t="shared" si="29"/>
        <v>-13626</v>
      </c>
      <c r="L55" s="61">
        <f t="shared" si="29"/>
        <v>-14234</v>
      </c>
      <c r="M55" s="61">
        <f t="shared" si="29"/>
        <v>-51897</v>
      </c>
      <c r="N55" s="61">
        <f t="shared" si="29"/>
        <v>-99177</v>
      </c>
      <c r="O55" s="61">
        <f t="shared" si="29"/>
        <v>-27035</v>
      </c>
      <c r="P55" s="61">
        <f t="shared" si="29"/>
        <v>-10694</v>
      </c>
      <c r="Q55" s="61">
        <f t="shared" si="29"/>
        <v>-36936</v>
      </c>
      <c r="R55" s="61">
        <f>R$40</f>
        <v>-79694</v>
      </c>
      <c r="S55" s="61">
        <f>S$40</f>
        <v>-154359</v>
      </c>
      <c r="T55" s="61">
        <f t="shared" si="29"/>
        <v>-47796</v>
      </c>
      <c r="U55" s="61">
        <f t="shared" si="29"/>
        <v>-36949</v>
      </c>
      <c r="V55" s="61">
        <f t="shared" si="29"/>
        <v>-34485</v>
      </c>
      <c r="W55" s="61">
        <f t="shared" si="29"/>
        <v>426</v>
      </c>
      <c r="X55" s="61">
        <f>SUM(T55:W55)</f>
        <v>-118804</v>
      </c>
      <c r="Y55" s="61">
        <f t="shared" ref="Y55:AB55" si="30">Y$40</f>
        <v>-38880</v>
      </c>
      <c r="Z55" s="61">
        <f t="shared" si="30"/>
        <v>-36100</v>
      </c>
      <c r="AA55" s="61">
        <f t="shared" si="30"/>
        <v>-46733</v>
      </c>
      <c r="AB55" s="61">
        <f t="shared" si="30"/>
        <v>-49057</v>
      </c>
      <c r="AC55" s="61">
        <f>SUM(Y55:AB55)</f>
        <v>-170770</v>
      </c>
      <c r="AD55" s="61">
        <f>AD$40</f>
        <v>-55235</v>
      </c>
      <c r="AE55" s="61">
        <f>AE$40</f>
        <v>-48655</v>
      </c>
      <c r="AF55" s="61">
        <f>AF$40</f>
        <v>-53755</v>
      </c>
      <c r="AG55" s="177">
        <f>'[1]EBITDA e Mg Bruta'!$C$7</f>
        <v>55437</v>
      </c>
      <c r="AH55" s="177">
        <v>213082</v>
      </c>
      <c r="AI55" s="177">
        <v>51410</v>
      </c>
    </row>
    <row r="56" spans="1:35" s="12" customFormat="1" ht="13" x14ac:dyDescent="0.3">
      <c r="A56" s="11"/>
      <c r="B56" s="11" t="s">
        <v>50</v>
      </c>
      <c r="C56" s="11" t="s">
        <v>51</v>
      </c>
      <c r="D56" s="62">
        <v>-53526</v>
      </c>
      <c r="E56" s="62">
        <v>-12083</v>
      </c>
      <c r="F56" s="62">
        <v>-14469</v>
      </c>
      <c r="G56" s="62">
        <v>-10102</v>
      </c>
      <c r="H56" s="62">
        <v>-13375</v>
      </c>
      <c r="I56" s="62">
        <v>-50029</v>
      </c>
      <c r="J56" s="62">
        <v>-10679</v>
      </c>
      <c r="K56" s="62">
        <v>-11878</v>
      </c>
      <c r="L56" s="62">
        <v>-13134</v>
      </c>
      <c r="M56" s="62">
        <v>-17704</v>
      </c>
      <c r="N56" s="62">
        <v>-53395</v>
      </c>
      <c r="O56" s="62">
        <v>-15688</v>
      </c>
      <c r="P56" s="62">
        <v>-30096</v>
      </c>
      <c r="Q56" s="62">
        <v>-48076</v>
      </c>
      <c r="R56" s="62">
        <v>-46635</v>
      </c>
      <c r="S56" s="62">
        <v>-140517</v>
      </c>
      <c r="T56" s="62">
        <v>-60225</v>
      </c>
      <c r="U56" s="62">
        <v>-41106</v>
      </c>
      <c r="V56" s="62">
        <v>-33386</v>
      </c>
      <c r="W56" s="62">
        <v>-32806</v>
      </c>
      <c r="X56" s="62">
        <f>SUM(T56:W56)</f>
        <v>-167523</v>
      </c>
      <c r="Y56" s="62">
        <v>-33472</v>
      </c>
      <c r="Z56" s="62">
        <v>-35640</v>
      </c>
      <c r="AA56" s="62">
        <v>-41263</v>
      </c>
      <c r="AB56" s="62">
        <v>-50104</v>
      </c>
      <c r="AC56" s="62">
        <f>SUM(Y56:AB56)</f>
        <v>-160479</v>
      </c>
      <c r="AD56" s="62">
        <v>-50210</v>
      </c>
      <c r="AE56" s="62">
        <v>-44562</v>
      </c>
      <c r="AF56" s="62">
        <v>-46323</v>
      </c>
      <c r="AG56" s="171">
        <f>'[1]EBITDA e Mg Bruta'!$C$8</f>
        <v>49395.3</v>
      </c>
      <c r="AH56" s="171">
        <v>190491</v>
      </c>
      <c r="AI56" s="171">
        <v>57093</v>
      </c>
    </row>
    <row r="57" spans="1:35" s="9" customFormat="1" ht="13" x14ac:dyDescent="0.3">
      <c r="A57" s="8"/>
      <c r="B57" s="8" t="s">
        <v>64</v>
      </c>
      <c r="C57" s="8" t="s">
        <v>64</v>
      </c>
      <c r="D57" s="64">
        <f>D53-SUM(D54:D56)</f>
        <v>32344</v>
      </c>
      <c r="E57" s="64">
        <f>E53-SUM(E54:E56)</f>
        <v>32538</v>
      </c>
      <c r="F57" s="64">
        <f>F53-(SUM(F54:F56))</f>
        <v>39076</v>
      </c>
      <c r="G57" s="64">
        <f>G53-(SUM(G54:G56))</f>
        <v>33387</v>
      </c>
      <c r="H57" s="64">
        <v>48096</v>
      </c>
      <c r="I57" s="64">
        <f>SUM(E57:H57)</f>
        <v>153097</v>
      </c>
      <c r="J57" s="64">
        <f t="shared" ref="J57:U57" si="31">J53-SUM(J54:J56)</f>
        <v>-13231</v>
      </c>
      <c r="K57" s="64">
        <f t="shared" si="31"/>
        <v>36840</v>
      </c>
      <c r="L57" s="64">
        <f t="shared" si="31"/>
        <v>32942</v>
      </c>
      <c r="M57" s="64">
        <f>M53-SUM(M54:M56)</f>
        <v>76526</v>
      </c>
      <c r="N57" s="64">
        <f t="shared" si="31"/>
        <v>133077</v>
      </c>
      <c r="O57" s="64">
        <f>O53-SUM(O54:O56)</f>
        <v>27580</v>
      </c>
      <c r="P57" s="64">
        <f t="shared" si="31"/>
        <v>49429</v>
      </c>
      <c r="Q57" s="64">
        <f t="shared" si="31"/>
        <v>70166</v>
      </c>
      <c r="R57" s="64">
        <f t="shared" si="31"/>
        <v>50825</v>
      </c>
      <c r="S57" s="64">
        <f t="shared" si="31"/>
        <v>198022</v>
      </c>
      <c r="T57" s="64">
        <f t="shared" si="31"/>
        <v>72054</v>
      </c>
      <c r="U57" s="64">
        <f t="shared" si="31"/>
        <v>85094</v>
      </c>
      <c r="V57" s="64">
        <f>V53-SUM(V54:V56)</f>
        <v>77888</v>
      </c>
      <c r="W57" s="64">
        <f>W53-SUM(W54:W56)</f>
        <v>122207</v>
      </c>
      <c r="X57" s="64">
        <f>SUM(T57:W57)</f>
        <v>357243</v>
      </c>
      <c r="Y57" s="64">
        <f t="shared" ref="Y57:AB57" si="32">Y53-SUM(Y54:Y56)</f>
        <v>104289</v>
      </c>
      <c r="Z57" s="64">
        <f t="shared" si="32"/>
        <v>99846.280600001279</v>
      </c>
      <c r="AA57" s="64">
        <f t="shared" si="32"/>
        <v>132348</v>
      </c>
      <c r="AB57" s="64">
        <f t="shared" si="32"/>
        <v>97114.100150000013</v>
      </c>
      <c r="AC57" s="64">
        <f>SUM(Y57:AB57)</f>
        <v>433597.38075000129</v>
      </c>
      <c r="AD57" s="64">
        <f>AD53-SUM(AD54:AD56)</f>
        <v>109911</v>
      </c>
      <c r="AE57" s="64">
        <f>AE53-SUM(AE54:AE56)</f>
        <v>125715</v>
      </c>
      <c r="AF57" s="64">
        <f>AF53-SUM(AF54:AF56)</f>
        <v>130804</v>
      </c>
      <c r="AG57" s="176">
        <f>SUM(AG53:AG56)</f>
        <v>134011.59559000097</v>
      </c>
      <c r="AH57" s="176">
        <v>500442.32759999996</v>
      </c>
      <c r="AI57" s="176">
        <v>143382</v>
      </c>
    </row>
    <row r="58" spans="1:35" s="23" customFormat="1" ht="13" x14ac:dyDescent="0.3">
      <c r="A58" s="22"/>
      <c r="B58" s="22" t="s">
        <v>65</v>
      </c>
      <c r="C58" s="22" t="s">
        <v>66</v>
      </c>
      <c r="D58" s="67">
        <f t="shared" ref="D58:AG58" si="33">D57/D12</f>
        <v>9.290168402972257E-2</v>
      </c>
      <c r="E58" s="67">
        <f t="shared" si="33"/>
        <v>0.35557158312297149</v>
      </c>
      <c r="F58" s="67">
        <f t="shared" si="33"/>
        <v>0.39140189911454787</v>
      </c>
      <c r="G58" s="67">
        <f t="shared" si="33"/>
        <v>0.34206239434455205</v>
      </c>
      <c r="H58" s="67">
        <f t="shared" si="33"/>
        <v>0.4668698674018133</v>
      </c>
      <c r="I58" s="67">
        <f t="shared" si="33"/>
        <v>0.39058545595558819</v>
      </c>
      <c r="J58" s="67">
        <f t="shared" si="33"/>
        <v>-0.15099572039942938</v>
      </c>
      <c r="K58" s="67">
        <f t="shared" si="33"/>
        <v>0.39746674290893008</v>
      </c>
      <c r="L58" s="67">
        <f t="shared" si="33"/>
        <v>0.32994461193297342</v>
      </c>
      <c r="M58" s="67">
        <f t="shared" si="33"/>
        <v>0.49256257924988578</v>
      </c>
      <c r="N58" s="67">
        <f t="shared" si="33"/>
        <v>0.30556167856060396</v>
      </c>
      <c r="O58" s="67">
        <f t="shared" si="33"/>
        <v>0.27795134339789973</v>
      </c>
      <c r="P58" s="67">
        <f t="shared" si="33"/>
        <v>0.32818766100974689</v>
      </c>
      <c r="Q58" s="67">
        <f t="shared" si="33"/>
        <v>0.35585286316355358</v>
      </c>
      <c r="R58" s="67">
        <f t="shared" si="33"/>
        <v>0.28360740811008378</v>
      </c>
      <c r="S58" s="67">
        <f t="shared" si="33"/>
        <v>0.31621592273691201</v>
      </c>
      <c r="T58" s="67">
        <f t="shared" si="33"/>
        <v>0.38155100743996401</v>
      </c>
      <c r="U58" s="67">
        <f t="shared" si="33"/>
        <v>0.43361104741522077</v>
      </c>
      <c r="V58" s="67">
        <f t="shared" si="33"/>
        <v>0.4044050072949496</v>
      </c>
      <c r="W58" s="67">
        <f t="shared" si="33"/>
        <v>0.61538267862448193</v>
      </c>
      <c r="X58" s="67">
        <f t="shared" si="33"/>
        <v>0.4602010109806306</v>
      </c>
      <c r="Y58" s="68">
        <f t="shared" si="33"/>
        <v>0.49864209690837979</v>
      </c>
      <c r="Z58" s="67">
        <f t="shared" si="33"/>
        <v>0.4642992011869258</v>
      </c>
      <c r="AA58" s="67">
        <f t="shared" si="33"/>
        <v>0.53136078008740595</v>
      </c>
      <c r="AB58" s="67">
        <f t="shared" si="33"/>
        <v>0.42185738056349537</v>
      </c>
      <c r="AC58" s="67">
        <f t="shared" si="33"/>
        <v>0.47992290419786093</v>
      </c>
      <c r="AD58" s="67">
        <f t="shared" si="33"/>
        <v>0.45644102990033225</v>
      </c>
      <c r="AE58" s="67">
        <f t="shared" si="33"/>
        <v>0.47586692457065422</v>
      </c>
      <c r="AF58" s="67">
        <f t="shared" si="33"/>
        <v>0.46541184842554706</v>
      </c>
      <c r="AG58" s="180">
        <f t="shared" si="33"/>
        <v>0.50702656819106551</v>
      </c>
      <c r="AH58" s="67">
        <f>AH57/AH12</f>
        <v>0.47645753929073448</v>
      </c>
      <c r="AI58" s="67">
        <v>0.43307880969928353</v>
      </c>
    </row>
    <row r="59" spans="1:35" s="9" customFormat="1" ht="13" x14ac:dyDescent="0.3">
      <c r="A59" s="8"/>
      <c r="B59" s="8" t="s">
        <v>236</v>
      </c>
      <c r="C59" s="8" t="s">
        <v>255</v>
      </c>
      <c r="D59" s="64">
        <v>100701</v>
      </c>
      <c r="E59" s="64">
        <v>32538</v>
      </c>
      <c r="F59" s="64">
        <v>30351</v>
      </c>
      <c r="G59" s="64">
        <v>33387</v>
      </c>
      <c r="H59" s="64">
        <v>48096</v>
      </c>
      <c r="I59" s="64">
        <f>SUM(E59:H59)</f>
        <v>144372</v>
      </c>
      <c r="J59" s="64">
        <v>25017</v>
      </c>
      <c r="K59" s="64">
        <v>37569</v>
      </c>
      <c r="L59" s="64">
        <v>38189</v>
      </c>
      <c r="M59" s="64">
        <v>76617</v>
      </c>
      <c r="N59" s="64">
        <v>177416</v>
      </c>
      <c r="O59" s="64">
        <v>28776</v>
      </c>
      <c r="P59" s="64">
        <v>47881</v>
      </c>
      <c r="Q59" s="64">
        <v>71159</v>
      </c>
      <c r="R59" s="64">
        <v>64513</v>
      </c>
      <c r="S59" s="64">
        <v>212330</v>
      </c>
      <c r="T59" s="64">
        <v>72054</v>
      </c>
      <c r="U59" s="64">
        <v>85094</v>
      </c>
      <c r="V59" s="64">
        <v>77888</v>
      </c>
      <c r="W59" s="64">
        <v>78592</v>
      </c>
      <c r="X59" s="64">
        <v>313628</v>
      </c>
      <c r="Y59" s="64">
        <v>104289</v>
      </c>
      <c r="Z59" s="64">
        <v>99846.280600001279</v>
      </c>
      <c r="AA59" s="64">
        <v>132348</v>
      </c>
      <c r="AB59" s="64">
        <v>97114.100149999998</v>
      </c>
      <c r="AC59" s="64">
        <f>SUM(Y59:AB59)</f>
        <v>433597.38075000129</v>
      </c>
      <c r="AD59" s="64">
        <v>109911</v>
      </c>
      <c r="AE59" s="64">
        <v>125715</v>
      </c>
      <c r="AF59" s="64">
        <v>130804</v>
      </c>
      <c r="AG59" s="176">
        <v>134011.59559000097</v>
      </c>
      <c r="AH59" s="176">
        <v>500442.32759999996</v>
      </c>
      <c r="AI59" s="176">
        <v>143382</v>
      </c>
    </row>
    <row r="60" spans="1:35" s="23" customFormat="1" ht="13" x14ac:dyDescent="0.3">
      <c r="A60" s="22"/>
      <c r="B60" s="22" t="s">
        <v>65</v>
      </c>
      <c r="C60" s="22" t="s">
        <v>245</v>
      </c>
      <c r="D60" s="67">
        <f t="shared" ref="D60:AE60" si="34">D59/D12</f>
        <v>0.28924352224453043</v>
      </c>
      <c r="E60" s="67">
        <f t="shared" si="34"/>
        <v>0.35557158312297149</v>
      </c>
      <c r="F60" s="67">
        <f t="shared" si="34"/>
        <v>0.30400857406146081</v>
      </c>
      <c r="G60" s="67">
        <f t="shared" si="34"/>
        <v>0.34206239434455205</v>
      </c>
      <c r="H60" s="67">
        <f t="shared" si="34"/>
        <v>0.4668698674018133</v>
      </c>
      <c r="I60" s="67">
        <f t="shared" si="34"/>
        <v>0.36832598579475878</v>
      </c>
      <c r="J60" s="67">
        <f t="shared" si="34"/>
        <v>0.2855007132667618</v>
      </c>
      <c r="K60" s="67">
        <f t="shared" si="34"/>
        <v>0.40533192357072728</v>
      </c>
      <c r="L60" s="67">
        <f t="shared" si="34"/>
        <v>0.38249817209362885</v>
      </c>
      <c r="M60" s="67">
        <f t="shared" si="34"/>
        <v>0.49314830429381512</v>
      </c>
      <c r="N60" s="67">
        <f t="shared" si="34"/>
        <v>0.40736964887627553</v>
      </c>
      <c r="O60" s="67">
        <f t="shared" si="34"/>
        <v>0.29000463588172454</v>
      </c>
      <c r="P60" s="67">
        <f t="shared" si="34"/>
        <v>0.31790959551695747</v>
      </c>
      <c r="Q60" s="67">
        <f t="shared" si="34"/>
        <v>0.36088894749387607</v>
      </c>
      <c r="R60" s="67">
        <f t="shared" si="34"/>
        <v>0.35998750062775864</v>
      </c>
      <c r="S60" s="67">
        <f t="shared" si="34"/>
        <v>0.33906397710723318</v>
      </c>
      <c r="T60" s="67">
        <f t="shared" si="34"/>
        <v>0.38155100743996401</v>
      </c>
      <c r="U60" s="67">
        <f t="shared" si="34"/>
        <v>0.43361104741522077</v>
      </c>
      <c r="V60" s="67">
        <f t="shared" si="34"/>
        <v>0.4044050072949496</v>
      </c>
      <c r="W60" s="67">
        <f t="shared" si="34"/>
        <v>0.39575601625484047</v>
      </c>
      <c r="X60" s="67">
        <f t="shared" si="34"/>
        <v>0.40401609736743116</v>
      </c>
      <c r="Y60" s="67">
        <f t="shared" si="34"/>
        <v>0.49864209690837979</v>
      </c>
      <c r="Z60" s="67">
        <f t="shared" si="34"/>
        <v>0.4642992011869258</v>
      </c>
      <c r="AA60" s="67">
        <f t="shared" si="34"/>
        <v>0.53136078008740595</v>
      </c>
      <c r="AB60" s="67">
        <f t="shared" si="34"/>
        <v>0.42185738056349531</v>
      </c>
      <c r="AC60" s="67">
        <f t="shared" si="34"/>
        <v>0.47992290419786093</v>
      </c>
      <c r="AD60" s="67">
        <f t="shared" si="34"/>
        <v>0.45644102990033225</v>
      </c>
      <c r="AE60" s="67">
        <f t="shared" si="34"/>
        <v>0.47586692457065422</v>
      </c>
      <c r="AF60" s="67">
        <f>AF59/AF12</f>
        <v>0.46541184842554706</v>
      </c>
      <c r="AG60" s="67">
        <f>AG59/AG12</f>
        <v>0.50702656819106551</v>
      </c>
      <c r="AH60" s="67">
        <f t="shared" ref="AH60" si="35">AH59/AH12</f>
        <v>0.47645753929073448</v>
      </c>
      <c r="AI60" s="67">
        <v>0.43307880969928353</v>
      </c>
    </row>
    <row r="61" spans="1:35" s="112" customFormat="1" ht="13" x14ac:dyDescent="0.3">
      <c r="A61" s="110"/>
      <c r="B61" s="110"/>
      <c r="C61" s="110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</row>
    <row r="62" spans="1:35" s="112" customFormat="1" ht="13" x14ac:dyDescent="0.3">
      <c r="A62" s="110"/>
      <c r="B62" s="142" t="s">
        <v>300</v>
      </c>
      <c r="C62" s="142" t="s">
        <v>317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</row>
    <row r="63" spans="1:35" s="6" customFormat="1" ht="13" x14ac:dyDescent="0.3">
      <c r="A63" s="21" t="s">
        <v>0</v>
      </c>
      <c r="B63" s="21" t="s">
        <v>226</v>
      </c>
      <c r="C63" s="21" t="s">
        <v>227</v>
      </c>
      <c r="D63" s="6" t="str">
        <f t="shared" ref="D63:AD63" si="36">+D$6</f>
        <v>2019 (FY)</v>
      </c>
      <c r="E63" s="6" t="str">
        <f t="shared" si="36"/>
        <v>1T20</v>
      </c>
      <c r="F63" s="6" t="str">
        <f t="shared" si="36"/>
        <v>2T20</v>
      </c>
      <c r="G63" s="6" t="str">
        <f t="shared" si="36"/>
        <v>3T20</v>
      </c>
      <c r="H63" s="6" t="str">
        <f t="shared" si="36"/>
        <v>4T20</v>
      </c>
      <c r="I63" s="6" t="str">
        <f t="shared" si="36"/>
        <v>2020 (FY)</v>
      </c>
      <c r="J63" s="6" t="str">
        <f t="shared" si="36"/>
        <v>1T21</v>
      </c>
      <c r="K63" s="6" t="str">
        <f t="shared" si="36"/>
        <v>2T21</v>
      </c>
      <c r="L63" s="6" t="str">
        <f t="shared" si="36"/>
        <v>3T21</v>
      </c>
      <c r="M63" s="6" t="str">
        <f t="shared" si="36"/>
        <v>4T21</v>
      </c>
      <c r="N63" s="6" t="str">
        <f t="shared" si="36"/>
        <v>2021 (FY)</v>
      </c>
      <c r="O63" s="6" t="str">
        <f t="shared" si="36"/>
        <v>1T22</v>
      </c>
      <c r="P63" s="6" t="str">
        <f t="shared" si="36"/>
        <v>2T22</v>
      </c>
      <c r="Q63" s="6" t="str">
        <f t="shared" si="36"/>
        <v>3T22</v>
      </c>
      <c r="R63" s="6" t="str">
        <f t="shared" si="36"/>
        <v>4T22</v>
      </c>
      <c r="S63" s="6" t="str">
        <f t="shared" si="36"/>
        <v>2022 (FY)</v>
      </c>
      <c r="T63" s="6" t="str">
        <f t="shared" si="36"/>
        <v>1T23</v>
      </c>
      <c r="U63" s="6" t="str">
        <f t="shared" si="36"/>
        <v>2T23</v>
      </c>
      <c r="V63" s="6" t="str">
        <f t="shared" si="36"/>
        <v>3T23</v>
      </c>
      <c r="W63" s="6" t="str">
        <f t="shared" si="36"/>
        <v>4T23</v>
      </c>
      <c r="X63" s="6" t="str">
        <f t="shared" si="36"/>
        <v>2023 (FY)</v>
      </c>
      <c r="Y63" s="6" t="str">
        <f t="shared" si="36"/>
        <v>1T24</v>
      </c>
      <c r="Z63" s="6" t="str">
        <f t="shared" si="36"/>
        <v>2T24</v>
      </c>
      <c r="AA63" s="6" t="str">
        <f t="shared" si="36"/>
        <v>3T24</v>
      </c>
      <c r="AB63" s="6" t="str">
        <f t="shared" si="36"/>
        <v>4T24</v>
      </c>
      <c r="AC63" s="6" t="str">
        <f t="shared" si="36"/>
        <v>2024 (FY)</v>
      </c>
      <c r="AD63" s="6" t="str">
        <f t="shared" si="36"/>
        <v>1T25</v>
      </c>
      <c r="AE63" s="6" t="str">
        <f>+AE$6</f>
        <v>2T25</v>
      </c>
      <c r="AF63" s="6" t="s">
        <v>323</v>
      </c>
      <c r="AG63" s="6" t="s">
        <v>336</v>
      </c>
      <c r="AH63" s="6" t="str">
        <f>+AH$6</f>
        <v>2025(FY)</v>
      </c>
      <c r="AI63" s="6" t="s">
        <v>354</v>
      </c>
    </row>
    <row r="64" spans="1:35" s="6" customFormat="1" ht="13" x14ac:dyDescent="0.3">
      <c r="A64" s="21"/>
      <c r="B64" s="5" t="s">
        <v>319</v>
      </c>
      <c r="C64" s="5" t="s">
        <v>318</v>
      </c>
      <c r="D64" s="6" t="str">
        <f t="shared" ref="D64:AD64" si="37">+D$7</f>
        <v>2019 (FY)</v>
      </c>
      <c r="E64" s="6" t="str">
        <f t="shared" si="37"/>
        <v>1Q20</v>
      </c>
      <c r="F64" s="6" t="str">
        <f t="shared" si="37"/>
        <v>2Q20</v>
      </c>
      <c r="G64" s="6" t="str">
        <f t="shared" si="37"/>
        <v>3Q20</v>
      </c>
      <c r="H64" s="6" t="str">
        <f t="shared" si="37"/>
        <v>4Q20</v>
      </c>
      <c r="I64" s="6" t="str">
        <f t="shared" si="37"/>
        <v>2020 (FY)</v>
      </c>
      <c r="J64" s="6" t="str">
        <f t="shared" si="37"/>
        <v>1Q21</v>
      </c>
      <c r="K64" s="6" t="str">
        <f t="shared" si="37"/>
        <v>2Q21</v>
      </c>
      <c r="L64" s="6" t="str">
        <f t="shared" si="37"/>
        <v>3Q21</v>
      </c>
      <c r="M64" s="6" t="str">
        <f t="shared" si="37"/>
        <v>4Q21</v>
      </c>
      <c r="N64" s="6" t="str">
        <f t="shared" si="37"/>
        <v>2021 (FY)</v>
      </c>
      <c r="O64" s="6" t="str">
        <f t="shared" si="37"/>
        <v>1Q22</v>
      </c>
      <c r="P64" s="6" t="str">
        <f t="shared" si="37"/>
        <v>2Q22</v>
      </c>
      <c r="Q64" s="6" t="str">
        <f t="shared" si="37"/>
        <v>3Q22</v>
      </c>
      <c r="R64" s="6" t="str">
        <f t="shared" si="37"/>
        <v>4Q22</v>
      </c>
      <c r="S64" s="6" t="str">
        <f t="shared" si="37"/>
        <v>2022 (FY)</v>
      </c>
      <c r="T64" s="6" t="str">
        <f t="shared" si="37"/>
        <v>1Q23</v>
      </c>
      <c r="U64" s="6" t="str">
        <f t="shared" si="37"/>
        <v>2Q23</v>
      </c>
      <c r="V64" s="6" t="str">
        <f t="shared" si="37"/>
        <v>3Q23</v>
      </c>
      <c r="W64" s="6" t="str">
        <f t="shared" si="37"/>
        <v>4Q23</v>
      </c>
      <c r="X64" s="6" t="str">
        <f t="shared" si="37"/>
        <v>2023 (FY)</v>
      </c>
      <c r="Y64" s="6" t="str">
        <f t="shared" si="37"/>
        <v>1Q24</v>
      </c>
      <c r="Z64" s="6" t="str">
        <f t="shared" si="37"/>
        <v>2Q24</v>
      </c>
      <c r="AA64" s="6" t="str">
        <f t="shared" si="37"/>
        <v>3Q24</v>
      </c>
      <c r="AB64" s="6" t="str">
        <f t="shared" si="37"/>
        <v>4Q24</v>
      </c>
      <c r="AC64" s="6" t="str">
        <f t="shared" si="37"/>
        <v>2024 (FY)</v>
      </c>
      <c r="AD64" s="6" t="str">
        <f t="shared" si="37"/>
        <v>1Q25</v>
      </c>
      <c r="AE64" s="6" t="str">
        <f>+AE$7</f>
        <v>2Q25</v>
      </c>
      <c r="AF64" s="6" t="s">
        <v>324</v>
      </c>
      <c r="AG64" s="6" t="s">
        <v>337</v>
      </c>
      <c r="AH64" s="6" t="str">
        <f t="shared" ref="AH64" si="38">+AH$7</f>
        <v>2025 (FY)</v>
      </c>
      <c r="AI64" s="6" t="s">
        <v>355</v>
      </c>
    </row>
    <row r="65" spans="1:35" s="6" customFormat="1" ht="13" x14ac:dyDescent="0.3">
      <c r="A65" s="21"/>
      <c r="B65" s="21" t="s">
        <v>273</v>
      </c>
      <c r="C65" s="21" t="s">
        <v>274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160">
        <f>+SUM(Y66:Y68)</f>
        <v>122033.00000000001</v>
      </c>
      <c r="Z65" s="160">
        <f t="shared" ref="Z65:AB65" si="39">+SUM(Z66:Z68)</f>
        <v>121940</v>
      </c>
      <c r="AA65" s="160">
        <f t="shared" si="39"/>
        <v>159571.99999999994</v>
      </c>
      <c r="AB65" s="160">
        <f t="shared" si="39"/>
        <v>140225.00000000006</v>
      </c>
      <c r="AC65" s="160">
        <f t="shared" ref="AC65:AH65" si="40">+SUM(AC66:AC68)</f>
        <v>543770.00000000012</v>
      </c>
      <c r="AD65" s="160">
        <f t="shared" si="40"/>
        <v>143610.00000000006</v>
      </c>
      <c r="AE65" s="160">
        <f t="shared" si="40"/>
        <v>162107.99999999997</v>
      </c>
      <c r="AF65" s="160">
        <f>+SUM(AF66:AF68)</f>
        <v>175906.74613999898</v>
      </c>
      <c r="AG65" s="160">
        <f t="shared" si="40"/>
        <v>165802.14251335783</v>
      </c>
      <c r="AH65" s="160">
        <f t="shared" si="40"/>
        <v>647426.88865335693</v>
      </c>
      <c r="AI65" s="160">
        <f>SUM(AI66:AI68)</f>
        <v>182756</v>
      </c>
    </row>
    <row r="66" spans="1:35" s="24" customFormat="1" ht="13" x14ac:dyDescent="0.3">
      <c r="B66" s="109" t="s">
        <v>293</v>
      </c>
      <c r="C66" s="109" t="s">
        <v>296</v>
      </c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34"/>
      <c r="U66" s="69"/>
      <c r="V66" s="34"/>
      <c r="W66" s="34"/>
      <c r="X66" s="69"/>
      <c r="Y66" s="130">
        <f t="shared" ref="Y66:AD66" si="41">+Y28+Y33</f>
        <v>110482.34083000003</v>
      </c>
      <c r="Z66" s="130">
        <f t="shared" si="41"/>
        <v>105845.67241</v>
      </c>
      <c r="AA66" s="130">
        <f t="shared" si="41"/>
        <v>140184.18803999995</v>
      </c>
      <c r="AB66" s="130">
        <f t="shared" si="41"/>
        <v>111451.96315000005</v>
      </c>
      <c r="AC66" s="130">
        <f>+AC28+AC33</f>
        <v>467964.16443000012</v>
      </c>
      <c r="AD66" s="130">
        <f t="shared" si="41"/>
        <v>114818.74235000007</v>
      </c>
      <c r="AE66" s="130">
        <f t="shared" ref="AE66:AE68" si="42">+AE28+AE33</f>
        <v>126296.77637999998</v>
      </c>
      <c r="AF66" s="130">
        <f>+AF28+AF33</f>
        <v>135458.25159499899</v>
      </c>
      <c r="AG66" s="192">
        <f>AG33+AG28</f>
        <v>133682.89865000104</v>
      </c>
      <c r="AH66" s="130">
        <f>SUM(AD66:AG66)</f>
        <v>510256.6689750001</v>
      </c>
      <c r="AI66" s="130">
        <v>158956</v>
      </c>
    </row>
    <row r="67" spans="1:35" s="113" customFormat="1" ht="13" x14ac:dyDescent="0.3">
      <c r="B67" s="108" t="s">
        <v>294</v>
      </c>
      <c r="C67" s="108" t="s">
        <v>297</v>
      </c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5"/>
      <c r="U67" s="114"/>
      <c r="V67" s="115"/>
      <c r="W67" s="115"/>
      <c r="X67" s="114"/>
      <c r="Y67" s="131">
        <f t="shared" ref="Y67:AD67" si="43">+Y29+Y34</f>
        <v>14791.93201</v>
      </c>
      <c r="Z67" s="131">
        <f t="shared" si="43"/>
        <v>16191.998469999999</v>
      </c>
      <c r="AA67" s="131">
        <f t="shared" si="43"/>
        <v>17074.176849999996</v>
      </c>
      <c r="AB67" s="131">
        <f t="shared" si="43"/>
        <v>26481.191449999998</v>
      </c>
      <c r="AC67" s="131">
        <f>+AC29+AC34</f>
        <v>74539.298779999997</v>
      </c>
      <c r="AD67" s="131">
        <f t="shared" si="43"/>
        <v>25014.694849999996</v>
      </c>
      <c r="AE67" s="131">
        <f t="shared" si="42"/>
        <v>33213.225279999999</v>
      </c>
      <c r="AF67" s="131">
        <f>+AF29+AF34</f>
        <v>36967.532524999988</v>
      </c>
      <c r="AG67" s="131">
        <f>AG34+AG29</f>
        <v>30440.84389335681</v>
      </c>
      <c r="AH67" s="131">
        <f>SUM(AD67:AG67)</f>
        <v>125636.2965483568</v>
      </c>
      <c r="AI67" s="131">
        <v>21504</v>
      </c>
    </row>
    <row r="68" spans="1:35" s="116" customFormat="1" ht="13" x14ac:dyDescent="0.3">
      <c r="B68" s="117" t="s">
        <v>295</v>
      </c>
      <c r="C68" s="117" t="s">
        <v>298</v>
      </c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9"/>
      <c r="U68" s="118"/>
      <c r="V68" s="119"/>
      <c r="W68" s="119"/>
      <c r="X68" s="118"/>
      <c r="Y68" s="132">
        <f t="shared" ref="Y68:AD68" si="44">+Y30+Y35</f>
        <v>-3241.2728400000178</v>
      </c>
      <c r="Z68" s="132">
        <f t="shared" si="44"/>
        <v>-97.670879999994213</v>
      </c>
      <c r="AA68" s="132">
        <f t="shared" si="44"/>
        <v>2313.6351099999993</v>
      </c>
      <c r="AB68" s="132">
        <f t="shared" si="44"/>
        <v>2291.845400000002</v>
      </c>
      <c r="AC68" s="132">
        <f>+AC30+AC35</f>
        <v>1266.5367899999983</v>
      </c>
      <c r="AD68" s="132">
        <f t="shared" si="44"/>
        <v>3776.5627999999833</v>
      </c>
      <c r="AE68" s="132">
        <f t="shared" si="42"/>
        <v>2597.9983399999946</v>
      </c>
      <c r="AF68" s="132">
        <f>+AF30+AF35</f>
        <v>3480.962019999999</v>
      </c>
      <c r="AG68" s="132">
        <f>AG30+AG35</f>
        <v>1678.3999700000022</v>
      </c>
      <c r="AH68" s="132">
        <f>SUM(AD68:AG68)</f>
        <v>11533.923129999979</v>
      </c>
      <c r="AI68" s="132">
        <v>2296</v>
      </c>
    </row>
    <row r="69" spans="1:35" s="27" customFormat="1" x14ac:dyDescent="0.35">
      <c r="B69" s="28"/>
      <c r="C69" s="28"/>
      <c r="Y69" s="29"/>
    </row>
    <row r="70" spans="1:35" s="6" customFormat="1" ht="13" x14ac:dyDescent="0.3">
      <c r="A70" s="21" t="s">
        <v>0</v>
      </c>
      <c r="B70" s="21" t="s">
        <v>256</v>
      </c>
      <c r="C70" s="21" t="s">
        <v>257</v>
      </c>
      <c r="D70" s="6" t="str">
        <f t="shared" ref="D70:AD70" si="45">+D$6</f>
        <v>2019 (FY)</v>
      </c>
      <c r="E70" s="6" t="str">
        <f t="shared" si="45"/>
        <v>1T20</v>
      </c>
      <c r="F70" s="6" t="str">
        <f t="shared" si="45"/>
        <v>2T20</v>
      </c>
      <c r="G70" s="6" t="str">
        <f t="shared" si="45"/>
        <v>3T20</v>
      </c>
      <c r="H70" s="6" t="str">
        <f t="shared" si="45"/>
        <v>4T20</v>
      </c>
      <c r="I70" s="6" t="str">
        <f t="shared" si="45"/>
        <v>2020 (FY)</v>
      </c>
      <c r="J70" s="6" t="str">
        <f t="shared" si="45"/>
        <v>1T21</v>
      </c>
      <c r="K70" s="6" t="str">
        <f t="shared" si="45"/>
        <v>2T21</v>
      </c>
      <c r="L70" s="6" t="str">
        <f t="shared" si="45"/>
        <v>3T21</v>
      </c>
      <c r="M70" s="6" t="str">
        <f t="shared" si="45"/>
        <v>4T21</v>
      </c>
      <c r="N70" s="6" t="str">
        <f t="shared" si="45"/>
        <v>2021 (FY)</v>
      </c>
      <c r="O70" s="6" t="str">
        <f t="shared" si="45"/>
        <v>1T22</v>
      </c>
      <c r="P70" s="6" t="str">
        <f t="shared" si="45"/>
        <v>2T22</v>
      </c>
      <c r="Q70" s="6" t="str">
        <f t="shared" si="45"/>
        <v>3T22</v>
      </c>
      <c r="R70" s="6" t="str">
        <f t="shared" si="45"/>
        <v>4T22</v>
      </c>
      <c r="S70" s="6" t="str">
        <f t="shared" si="45"/>
        <v>2022 (FY)</v>
      </c>
      <c r="T70" s="6" t="str">
        <f t="shared" si="45"/>
        <v>1T23</v>
      </c>
      <c r="U70" s="6" t="str">
        <f t="shared" si="45"/>
        <v>2T23</v>
      </c>
      <c r="V70" s="6" t="str">
        <f t="shared" si="45"/>
        <v>3T23</v>
      </c>
      <c r="W70" s="6" t="str">
        <f t="shared" si="45"/>
        <v>4T23</v>
      </c>
      <c r="X70" s="6" t="str">
        <f t="shared" si="45"/>
        <v>2023 (FY)</v>
      </c>
      <c r="Y70" s="6" t="str">
        <f t="shared" si="45"/>
        <v>1T24</v>
      </c>
      <c r="Z70" s="6" t="str">
        <f t="shared" si="45"/>
        <v>2T24</v>
      </c>
      <c r="AA70" s="6" t="str">
        <f t="shared" si="45"/>
        <v>3T24</v>
      </c>
      <c r="AB70" s="6" t="str">
        <f t="shared" si="45"/>
        <v>4T24</v>
      </c>
      <c r="AC70" s="6" t="str">
        <f t="shared" si="45"/>
        <v>2024 (FY)</v>
      </c>
      <c r="AD70" s="6" t="str">
        <f t="shared" si="45"/>
        <v>1T25</v>
      </c>
      <c r="AE70" s="6" t="str">
        <f>+AE$6</f>
        <v>2T25</v>
      </c>
      <c r="AF70" s="6" t="s">
        <v>323</v>
      </c>
      <c r="AG70" s="6" t="s">
        <v>336</v>
      </c>
      <c r="AH70" s="6" t="str">
        <f>+AH$6</f>
        <v>2025(FY)</v>
      </c>
      <c r="AI70" s="6" t="s">
        <v>354</v>
      </c>
    </row>
    <row r="71" spans="1:35" s="6" customFormat="1" ht="13" x14ac:dyDescent="0.3">
      <c r="A71" s="21"/>
      <c r="B71" s="21" t="s">
        <v>258</v>
      </c>
      <c r="C71" s="21" t="s">
        <v>258</v>
      </c>
      <c r="D71" s="6" t="str">
        <f t="shared" ref="D71:AD71" si="46">+D$7</f>
        <v>2019 (FY)</v>
      </c>
      <c r="E71" s="6" t="str">
        <f t="shared" si="46"/>
        <v>1Q20</v>
      </c>
      <c r="F71" s="6" t="str">
        <f t="shared" si="46"/>
        <v>2Q20</v>
      </c>
      <c r="G71" s="6" t="str">
        <f t="shared" si="46"/>
        <v>3Q20</v>
      </c>
      <c r="H71" s="6" t="str">
        <f t="shared" si="46"/>
        <v>4Q20</v>
      </c>
      <c r="I71" s="6" t="str">
        <f t="shared" si="46"/>
        <v>2020 (FY)</v>
      </c>
      <c r="J71" s="6" t="str">
        <f t="shared" si="46"/>
        <v>1Q21</v>
      </c>
      <c r="K71" s="6" t="str">
        <f t="shared" si="46"/>
        <v>2Q21</v>
      </c>
      <c r="L71" s="6" t="str">
        <f t="shared" si="46"/>
        <v>3Q21</v>
      </c>
      <c r="M71" s="6" t="str">
        <f t="shared" si="46"/>
        <v>4Q21</v>
      </c>
      <c r="N71" s="6" t="str">
        <f t="shared" si="46"/>
        <v>2021 (FY)</v>
      </c>
      <c r="O71" s="6" t="str">
        <f t="shared" si="46"/>
        <v>1Q22</v>
      </c>
      <c r="P71" s="6" t="str">
        <f t="shared" si="46"/>
        <v>2Q22</v>
      </c>
      <c r="Q71" s="6" t="str">
        <f t="shared" si="46"/>
        <v>3Q22</v>
      </c>
      <c r="R71" s="6" t="str">
        <f t="shared" si="46"/>
        <v>4Q22</v>
      </c>
      <c r="S71" s="6" t="str">
        <f t="shared" si="46"/>
        <v>2022 (FY)</v>
      </c>
      <c r="T71" s="6" t="str">
        <f t="shared" si="46"/>
        <v>1Q23</v>
      </c>
      <c r="U71" s="6" t="str">
        <f t="shared" si="46"/>
        <v>2Q23</v>
      </c>
      <c r="V71" s="6" t="str">
        <f t="shared" si="46"/>
        <v>3Q23</v>
      </c>
      <c r="W71" s="6" t="str">
        <f t="shared" si="46"/>
        <v>4Q23</v>
      </c>
      <c r="X71" s="6" t="str">
        <f t="shared" si="46"/>
        <v>2023 (FY)</v>
      </c>
      <c r="Y71" s="6" t="str">
        <f t="shared" si="46"/>
        <v>1Q24</v>
      </c>
      <c r="Z71" s="6" t="str">
        <f t="shared" si="46"/>
        <v>2Q24</v>
      </c>
      <c r="AA71" s="6" t="str">
        <f t="shared" si="46"/>
        <v>3Q24</v>
      </c>
      <c r="AB71" s="6" t="str">
        <f t="shared" si="46"/>
        <v>4Q24</v>
      </c>
      <c r="AC71" s="6" t="str">
        <f t="shared" si="46"/>
        <v>2024 (FY)</v>
      </c>
      <c r="AD71" s="6" t="str">
        <f t="shared" si="46"/>
        <v>1Q25</v>
      </c>
      <c r="AE71" s="6" t="str">
        <f>+AE$7</f>
        <v>2Q25</v>
      </c>
      <c r="AF71" s="6" t="s">
        <v>324</v>
      </c>
      <c r="AG71" s="6" t="s">
        <v>337</v>
      </c>
      <c r="AH71" s="6" t="str">
        <f t="shared" ref="AH71" si="47">+AH$7</f>
        <v>2025 (FY)</v>
      </c>
      <c r="AI71" s="6" t="s">
        <v>355</v>
      </c>
    </row>
    <row r="72" spans="1:35" s="6" customFormat="1" ht="13" x14ac:dyDescent="0.3">
      <c r="A72" s="21"/>
      <c r="B72" s="21" t="s">
        <v>256</v>
      </c>
      <c r="C72" s="21" t="s">
        <v>257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161">
        <f t="shared" ref="Y72:AC72" si="48">+Y65/Y27</f>
        <v>0.58348235204115795</v>
      </c>
      <c r="Z72" s="161">
        <f t="shared" si="48"/>
        <v>0.56703883337130956</v>
      </c>
      <c r="AA72" s="161">
        <f t="shared" si="48"/>
        <v>0.64066100837502094</v>
      </c>
      <c r="AB72" s="161">
        <f t="shared" si="48"/>
        <v>0.60912834591626652</v>
      </c>
      <c r="AC72" s="161">
        <f t="shared" si="48"/>
        <v>0.60186635350475337</v>
      </c>
      <c r="AD72" s="161">
        <f t="shared" ref="AD72:AG75" si="49">+AD65/AD27</f>
        <v>0.59638704318936886</v>
      </c>
      <c r="AE72" s="161">
        <f t="shared" si="49"/>
        <v>0.61362474969812353</v>
      </c>
      <c r="AF72" s="161">
        <f t="shared" si="49"/>
        <v>0.62589185208647991</v>
      </c>
      <c r="AG72" s="161">
        <f t="shared" si="49"/>
        <v>0.62730384933611738</v>
      </c>
      <c r="AH72" s="161">
        <f t="shared" ref="AH72" si="50">+AH65/AH27</f>
        <v>0.61639750679508554</v>
      </c>
      <c r="AI72" s="161">
        <v>0.55200618589085282</v>
      </c>
    </row>
    <row r="73" spans="1:35" s="133" customFormat="1" ht="13" x14ac:dyDescent="0.3">
      <c r="B73" s="134" t="s">
        <v>293</v>
      </c>
      <c r="C73" s="134" t="s">
        <v>296</v>
      </c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>
        <f t="shared" ref="Y73:AC75" si="51">+Y66/Y28</f>
        <v>0.62200192153491052</v>
      </c>
      <c r="Z73" s="135">
        <f t="shared" si="51"/>
        <v>0.59661103579777985</v>
      </c>
      <c r="AA73" s="135">
        <f t="shared" si="51"/>
        <v>0.66955758477708949</v>
      </c>
      <c r="AB73" s="135">
        <f t="shared" si="51"/>
        <v>0.62293443192020004</v>
      </c>
      <c r="AC73" s="135">
        <f t="shared" si="51"/>
        <v>0.62956107535949946</v>
      </c>
      <c r="AD73" s="135">
        <f t="shared" si="49"/>
        <v>0.61012415741375337</v>
      </c>
      <c r="AE73" s="135">
        <f t="shared" si="49"/>
        <v>0.62631380744460896</v>
      </c>
      <c r="AF73" s="135">
        <f>+AF66/AF28</f>
        <v>0.63224066825402836</v>
      </c>
      <c r="AG73" s="135">
        <f t="shared" ref="AG73:AH75" si="52">AG66/AG28</f>
        <v>0.64088276350759588</v>
      </c>
      <c r="AH73" s="135">
        <f t="shared" si="52"/>
        <v>0.62786679304845816</v>
      </c>
      <c r="AI73" s="135">
        <v>0.696933957093814</v>
      </c>
    </row>
    <row r="74" spans="1:35" s="136" customFormat="1" ht="13" x14ac:dyDescent="0.3">
      <c r="B74" s="137" t="s">
        <v>294</v>
      </c>
      <c r="C74" s="137" t="s">
        <v>297</v>
      </c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>
        <f t="shared" si="51"/>
        <v>0.95767410979106282</v>
      </c>
      <c r="Z74" s="138">
        <f t="shared" si="51"/>
        <v>0.92997472954823801</v>
      </c>
      <c r="AA74" s="138">
        <f t="shared" si="51"/>
        <v>0.95025505969653157</v>
      </c>
      <c r="AB74" s="138">
        <f t="shared" si="51"/>
        <v>0.84841558492144198</v>
      </c>
      <c r="AC74" s="138">
        <f t="shared" si="51"/>
        <v>0.90860114324625874</v>
      </c>
      <c r="AD74" s="138">
        <f t="shared" si="49"/>
        <v>0.75273073829246295</v>
      </c>
      <c r="AE74" s="138">
        <f t="shared" si="49"/>
        <v>0.76652225529641116</v>
      </c>
      <c r="AF74" s="138">
        <f>+AF67/AF29</f>
        <v>0.81885024501297921</v>
      </c>
      <c r="AG74" s="138">
        <f t="shared" si="52"/>
        <v>0.75478791132650402</v>
      </c>
      <c r="AH74" s="138">
        <f t="shared" si="52"/>
        <v>0.77535082232782926</v>
      </c>
      <c r="AI74" s="138">
        <v>0.25025020365413708</v>
      </c>
    </row>
    <row r="75" spans="1:35" s="139" customFormat="1" ht="13" x14ac:dyDescent="0.3">
      <c r="B75" s="140" t="s">
        <v>295</v>
      </c>
      <c r="C75" s="140" t="s">
        <v>298</v>
      </c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>
        <f t="shared" si="51"/>
        <v>-0.20161529948211473</v>
      </c>
      <c r="Z75" s="141">
        <f t="shared" si="51"/>
        <v>-4.829393698743494E-3</v>
      </c>
      <c r="AA75" s="141">
        <f t="shared" si="51"/>
        <v>0.1064345876625519</v>
      </c>
      <c r="AB75" s="141">
        <f t="shared" si="51"/>
        <v>0.11414118711035204</v>
      </c>
      <c r="AC75" s="141">
        <f t="shared" si="51"/>
        <v>1.6213239988378984E-2</v>
      </c>
      <c r="AD75" s="141">
        <f t="shared" si="49"/>
        <v>0.19487986729337692</v>
      </c>
      <c r="AE75" s="141">
        <f t="shared" si="49"/>
        <v>0.13531039283599255</v>
      </c>
      <c r="AF75" s="141">
        <f>+AF68/AF30</f>
        <v>0.16076118874982676</v>
      </c>
      <c r="AG75" s="141">
        <f t="shared" si="52"/>
        <v>0.10907909079092755</v>
      </c>
      <c r="AH75" s="141">
        <f t="shared" si="52"/>
        <v>0.15252678731535699</v>
      </c>
      <c r="AI75" s="141">
        <v>0.13452862248784203</v>
      </c>
    </row>
    <row r="76" spans="1:35" s="27" customFormat="1" x14ac:dyDescent="0.35">
      <c r="B76" s="28"/>
      <c r="C76" s="28"/>
      <c r="Y76" s="29"/>
    </row>
    <row r="77" spans="1:35" s="27" customFormat="1" ht="13" x14ac:dyDescent="0.3">
      <c r="B77" s="142" t="s">
        <v>299</v>
      </c>
      <c r="C77" s="142" t="s">
        <v>316</v>
      </c>
      <c r="Y77" s="29"/>
    </row>
    <row r="78" spans="1:35" s="6" customFormat="1" ht="13" x14ac:dyDescent="0.3">
      <c r="A78" s="21" t="s">
        <v>0</v>
      </c>
      <c r="B78" s="21" t="s">
        <v>226</v>
      </c>
      <c r="C78" s="21" t="s">
        <v>227</v>
      </c>
      <c r="D78" s="6" t="str">
        <f t="shared" ref="D78:AD78" si="53">+D$6</f>
        <v>2019 (FY)</v>
      </c>
      <c r="E78" s="6" t="str">
        <f t="shared" si="53"/>
        <v>1T20</v>
      </c>
      <c r="F78" s="6" t="str">
        <f t="shared" si="53"/>
        <v>2T20</v>
      </c>
      <c r="G78" s="6" t="str">
        <f t="shared" si="53"/>
        <v>3T20</v>
      </c>
      <c r="H78" s="6" t="str">
        <f t="shared" si="53"/>
        <v>4T20</v>
      </c>
      <c r="I78" s="6" t="str">
        <f t="shared" si="53"/>
        <v>2020 (FY)</v>
      </c>
      <c r="J78" s="6" t="str">
        <f t="shared" si="53"/>
        <v>1T21</v>
      </c>
      <c r="K78" s="6" t="str">
        <f t="shared" si="53"/>
        <v>2T21</v>
      </c>
      <c r="L78" s="6" t="str">
        <f t="shared" si="53"/>
        <v>3T21</v>
      </c>
      <c r="M78" s="6" t="str">
        <f t="shared" si="53"/>
        <v>4T21</v>
      </c>
      <c r="N78" s="6" t="str">
        <f t="shared" si="53"/>
        <v>2021 (FY)</v>
      </c>
      <c r="O78" s="6" t="str">
        <f t="shared" si="53"/>
        <v>1T22</v>
      </c>
      <c r="P78" s="6" t="str">
        <f t="shared" si="53"/>
        <v>2T22</v>
      </c>
      <c r="Q78" s="6" t="str">
        <f t="shared" si="53"/>
        <v>3T22</v>
      </c>
      <c r="R78" s="6" t="str">
        <f t="shared" si="53"/>
        <v>4T22</v>
      </c>
      <c r="S78" s="6" t="str">
        <f t="shared" si="53"/>
        <v>2022 (FY)</v>
      </c>
      <c r="T78" s="6" t="str">
        <f t="shared" si="53"/>
        <v>1T23</v>
      </c>
      <c r="U78" s="6" t="str">
        <f t="shared" si="53"/>
        <v>2T23</v>
      </c>
      <c r="V78" s="6" t="str">
        <f t="shared" si="53"/>
        <v>3T23</v>
      </c>
      <c r="W78" s="6" t="str">
        <f t="shared" si="53"/>
        <v>4T23</v>
      </c>
      <c r="X78" s="6" t="str">
        <f t="shared" si="53"/>
        <v>2023 (FY)</v>
      </c>
      <c r="Y78" s="6" t="str">
        <f t="shared" si="53"/>
        <v>1T24</v>
      </c>
      <c r="Z78" s="6" t="str">
        <f t="shared" si="53"/>
        <v>2T24</v>
      </c>
      <c r="AA78" s="6" t="str">
        <f t="shared" si="53"/>
        <v>3T24</v>
      </c>
      <c r="AB78" s="6" t="str">
        <f t="shared" si="53"/>
        <v>4T24</v>
      </c>
      <c r="AC78" s="6" t="str">
        <f t="shared" si="53"/>
        <v>2024 (FY)</v>
      </c>
      <c r="AD78" s="6" t="str">
        <f t="shared" si="53"/>
        <v>1T25</v>
      </c>
      <c r="AE78" s="6" t="str">
        <f>+AE$6</f>
        <v>2T25</v>
      </c>
      <c r="AF78" s="6" t="s">
        <v>323</v>
      </c>
      <c r="AG78" s="6" t="s">
        <v>336</v>
      </c>
      <c r="AH78" s="6" t="str">
        <f>+AH$6</f>
        <v>2025(FY)</v>
      </c>
      <c r="AI78" s="6" t="s">
        <v>354</v>
      </c>
    </row>
    <row r="79" spans="1:35" s="6" customFormat="1" ht="13" x14ac:dyDescent="0.3">
      <c r="A79" s="21"/>
      <c r="B79" s="5" t="s">
        <v>319</v>
      </c>
      <c r="C79" s="5" t="s">
        <v>318</v>
      </c>
      <c r="D79" s="6" t="str">
        <f t="shared" ref="D79:AD79" si="54">+D$7</f>
        <v>2019 (FY)</v>
      </c>
      <c r="E79" s="6" t="str">
        <f t="shared" si="54"/>
        <v>1Q20</v>
      </c>
      <c r="F79" s="6" t="str">
        <f t="shared" si="54"/>
        <v>2Q20</v>
      </c>
      <c r="G79" s="6" t="str">
        <f t="shared" si="54"/>
        <v>3Q20</v>
      </c>
      <c r="H79" s="6" t="str">
        <f t="shared" si="54"/>
        <v>4Q20</v>
      </c>
      <c r="I79" s="6" t="str">
        <f t="shared" si="54"/>
        <v>2020 (FY)</v>
      </c>
      <c r="J79" s="6" t="str">
        <f t="shared" si="54"/>
        <v>1Q21</v>
      </c>
      <c r="K79" s="6" t="str">
        <f t="shared" si="54"/>
        <v>2Q21</v>
      </c>
      <c r="L79" s="6" t="str">
        <f t="shared" si="54"/>
        <v>3Q21</v>
      </c>
      <c r="M79" s="6" t="str">
        <f t="shared" si="54"/>
        <v>4Q21</v>
      </c>
      <c r="N79" s="6" t="str">
        <f t="shared" si="54"/>
        <v>2021 (FY)</v>
      </c>
      <c r="O79" s="6" t="str">
        <f t="shared" si="54"/>
        <v>1Q22</v>
      </c>
      <c r="P79" s="6" t="str">
        <f t="shared" si="54"/>
        <v>2Q22</v>
      </c>
      <c r="Q79" s="6" t="str">
        <f t="shared" si="54"/>
        <v>3Q22</v>
      </c>
      <c r="R79" s="6" t="str">
        <f t="shared" si="54"/>
        <v>4Q22</v>
      </c>
      <c r="S79" s="6" t="str">
        <f t="shared" si="54"/>
        <v>2022 (FY)</v>
      </c>
      <c r="T79" s="6" t="str">
        <f t="shared" si="54"/>
        <v>1Q23</v>
      </c>
      <c r="U79" s="6" t="str">
        <f t="shared" si="54"/>
        <v>2Q23</v>
      </c>
      <c r="V79" s="6" t="str">
        <f t="shared" si="54"/>
        <v>3Q23</v>
      </c>
      <c r="W79" s="6" t="str">
        <f t="shared" si="54"/>
        <v>4Q23</v>
      </c>
      <c r="X79" s="6" t="str">
        <f t="shared" si="54"/>
        <v>2023 (FY)</v>
      </c>
      <c r="Y79" s="6" t="str">
        <f t="shared" si="54"/>
        <v>1Q24</v>
      </c>
      <c r="Z79" s="6" t="str">
        <f t="shared" si="54"/>
        <v>2Q24</v>
      </c>
      <c r="AA79" s="6" t="str">
        <f t="shared" si="54"/>
        <v>3Q24</v>
      </c>
      <c r="AB79" s="6" t="str">
        <f t="shared" si="54"/>
        <v>4Q24</v>
      </c>
      <c r="AC79" s="6" t="str">
        <f t="shared" si="54"/>
        <v>2024 (FY)</v>
      </c>
      <c r="AD79" s="6" t="str">
        <f t="shared" si="54"/>
        <v>1Q25</v>
      </c>
      <c r="AE79" s="6" t="str">
        <f>+AE$7</f>
        <v>2Q25</v>
      </c>
      <c r="AF79" s="6" t="s">
        <v>324</v>
      </c>
      <c r="AG79" s="6" t="s">
        <v>337</v>
      </c>
      <c r="AH79" s="6" t="str">
        <f t="shared" ref="AH79" si="55">+AH$7</f>
        <v>2025 (FY)</v>
      </c>
      <c r="AI79" s="6" t="s">
        <v>355</v>
      </c>
    </row>
    <row r="80" spans="1:35" s="6" customFormat="1" ht="13" x14ac:dyDescent="0.3">
      <c r="A80" s="21"/>
      <c r="B80" s="21" t="s">
        <v>273</v>
      </c>
      <c r="C80" s="21" t="s">
        <v>274</v>
      </c>
      <c r="D80" s="7">
        <f>SUM(D81:D84)</f>
        <v>157790</v>
      </c>
      <c r="E80" s="7">
        <f t="shared" ref="E80:AB80" si="56">SUM(E81:E84)</f>
        <v>45499</v>
      </c>
      <c r="F80" s="7">
        <f t="shared" si="56"/>
        <v>47413</v>
      </c>
      <c r="G80" s="7">
        <f t="shared" si="56"/>
        <v>46637</v>
      </c>
      <c r="H80" s="7">
        <f t="shared" si="56"/>
        <v>55868</v>
      </c>
      <c r="I80" s="7">
        <f t="shared" si="56"/>
        <v>195417</v>
      </c>
      <c r="J80" s="7">
        <f t="shared" si="56"/>
        <v>37887</v>
      </c>
      <c r="K80" s="7">
        <f t="shared" si="56"/>
        <v>44336</v>
      </c>
      <c r="L80" s="7">
        <f t="shared" si="56"/>
        <v>49932</v>
      </c>
      <c r="M80" s="7">
        <f t="shared" si="56"/>
        <v>100157</v>
      </c>
      <c r="N80" s="7">
        <f t="shared" si="56"/>
        <v>232312</v>
      </c>
      <c r="O80" s="7">
        <f t="shared" si="56"/>
        <v>47815</v>
      </c>
      <c r="P80" s="7">
        <f t="shared" si="56"/>
        <v>68046</v>
      </c>
      <c r="Q80" s="7">
        <f t="shared" si="56"/>
        <v>94504</v>
      </c>
      <c r="R80" s="7">
        <f t="shared" si="56"/>
        <v>80915</v>
      </c>
      <c r="S80" s="7">
        <f t="shared" si="56"/>
        <v>291280</v>
      </c>
      <c r="T80" s="7">
        <f t="shared" si="56"/>
        <v>93326</v>
      </c>
      <c r="U80" s="7">
        <f t="shared" si="56"/>
        <v>106830</v>
      </c>
      <c r="V80" s="7">
        <f t="shared" si="56"/>
        <v>102189</v>
      </c>
      <c r="W80" s="7">
        <f t="shared" si="56"/>
        <v>102703</v>
      </c>
      <c r="X80" s="7">
        <f t="shared" si="56"/>
        <v>405048</v>
      </c>
      <c r="Y80" s="7">
        <f t="shared" si="56"/>
        <v>122033</v>
      </c>
      <c r="Z80" s="7">
        <f t="shared" si="56"/>
        <v>121940.26471000627</v>
      </c>
      <c r="AA80" s="7">
        <f t="shared" si="56"/>
        <v>159572.23641999374</v>
      </c>
      <c r="AB80" s="7">
        <f t="shared" si="56"/>
        <v>140224.65183000002</v>
      </c>
      <c r="AC80" s="7">
        <f t="shared" ref="AC80:AH80" si="57">SUM(AC81:AC84)</f>
        <v>543770.15296000009</v>
      </c>
      <c r="AD80" s="7">
        <f t="shared" si="57"/>
        <v>143610</v>
      </c>
      <c r="AE80" s="7">
        <f t="shared" si="57"/>
        <v>162108</v>
      </c>
      <c r="AF80" s="7">
        <f t="shared" si="57"/>
        <v>175907.00000000003</v>
      </c>
      <c r="AG80" s="7">
        <f t="shared" si="57"/>
        <v>165802.82324000954</v>
      </c>
      <c r="AH80" s="7">
        <f t="shared" si="57"/>
        <v>647427.8232400096</v>
      </c>
      <c r="AI80" s="7">
        <f>SUM(AI81:AI84)</f>
        <v>182754.86938000005</v>
      </c>
    </row>
    <row r="81" spans="1:35" s="14" customFormat="1" ht="13" x14ac:dyDescent="0.3">
      <c r="A81" s="15"/>
      <c r="B81" s="15" t="s">
        <v>213</v>
      </c>
      <c r="C81" s="15" t="s">
        <v>35</v>
      </c>
      <c r="D81" s="61">
        <f t="shared" ref="D81:R81" si="58">D13+D19</f>
        <v>124387</v>
      </c>
      <c r="E81" s="61">
        <f t="shared" si="58"/>
        <v>33075</v>
      </c>
      <c r="F81" s="61">
        <f t="shared" si="58"/>
        <v>29967</v>
      </c>
      <c r="G81" s="61">
        <f t="shared" si="58"/>
        <v>30448</v>
      </c>
      <c r="H81" s="61">
        <f t="shared" si="58"/>
        <v>30284</v>
      </c>
      <c r="I81" s="61">
        <f t="shared" si="58"/>
        <v>123774</v>
      </c>
      <c r="J81" s="61">
        <f t="shared" si="58"/>
        <v>27848</v>
      </c>
      <c r="K81" s="61">
        <f t="shared" si="58"/>
        <v>31058</v>
      </c>
      <c r="L81" s="61">
        <f t="shared" si="58"/>
        <v>29649</v>
      </c>
      <c r="M81" s="61">
        <f t="shared" si="58"/>
        <v>44572</v>
      </c>
      <c r="N81" s="61">
        <f t="shared" si="58"/>
        <v>133127</v>
      </c>
      <c r="O81" s="61">
        <f t="shared" si="58"/>
        <v>37458</v>
      </c>
      <c r="P81" s="61">
        <f t="shared" si="58"/>
        <v>62130</v>
      </c>
      <c r="Q81" s="61">
        <f t="shared" si="58"/>
        <v>83297</v>
      </c>
      <c r="R81" s="61">
        <f t="shared" si="58"/>
        <v>70888</v>
      </c>
      <c r="S81" s="61">
        <f>SUM(S13,S19)</f>
        <v>253773</v>
      </c>
      <c r="T81" s="61">
        <f t="shared" ref="T81:AD81" si="59">T13+T19</f>
        <v>71366</v>
      </c>
      <c r="U81" s="61">
        <f t="shared" si="59"/>
        <v>86533</v>
      </c>
      <c r="V81" s="61">
        <f t="shared" si="59"/>
        <v>79400</v>
      </c>
      <c r="W81" s="61">
        <f t="shared" si="59"/>
        <v>82049</v>
      </c>
      <c r="X81" s="61">
        <f t="shared" si="59"/>
        <v>319348</v>
      </c>
      <c r="Y81" s="61">
        <f t="shared" si="59"/>
        <v>96099</v>
      </c>
      <c r="Z81" s="61">
        <f t="shared" si="59"/>
        <v>95352.118280006282</v>
      </c>
      <c r="AA81" s="61">
        <f t="shared" si="59"/>
        <v>98367.881719993718</v>
      </c>
      <c r="AB81" s="61">
        <f t="shared" si="59"/>
        <v>99425</v>
      </c>
      <c r="AC81" s="61">
        <f t="shared" si="59"/>
        <v>389244</v>
      </c>
      <c r="AD81" s="61">
        <f t="shared" si="59"/>
        <v>100991</v>
      </c>
      <c r="AE81" s="61">
        <f t="shared" ref="AE81:AF84" si="60">AE13+AE19</f>
        <v>106719.36634000001</v>
      </c>
      <c r="AF81" s="61">
        <f>AF13+AF19</f>
        <v>107550.42147614625</v>
      </c>
      <c r="AG81" s="177">
        <f>AG13+AG19</f>
        <v>108603.10840302591</v>
      </c>
      <c r="AH81" s="177">
        <f>AH13+AH19</f>
        <v>423863.89621917211</v>
      </c>
      <c r="AI81" s="177">
        <v>137160.99126000004</v>
      </c>
    </row>
    <row r="82" spans="1:35" s="12" customFormat="1" ht="13" x14ac:dyDescent="0.3">
      <c r="A82" s="11"/>
      <c r="B82" s="11" t="s">
        <v>37</v>
      </c>
      <c r="C82" s="11" t="s">
        <v>36</v>
      </c>
      <c r="D82" s="62">
        <f t="shared" ref="D82:R82" si="61">D14+D20</f>
        <v>26205</v>
      </c>
      <c r="E82" s="62">
        <f t="shared" si="61"/>
        <v>10345</v>
      </c>
      <c r="F82" s="62">
        <f t="shared" si="61"/>
        <v>17069</v>
      </c>
      <c r="G82" s="62">
        <f t="shared" si="61"/>
        <v>15870</v>
      </c>
      <c r="H82" s="62">
        <f t="shared" si="61"/>
        <v>23151</v>
      </c>
      <c r="I82" s="62">
        <f t="shared" si="61"/>
        <v>66435</v>
      </c>
      <c r="J82" s="62">
        <f t="shared" si="61"/>
        <v>9774</v>
      </c>
      <c r="K82" s="62">
        <f t="shared" si="61"/>
        <v>11246</v>
      </c>
      <c r="L82" s="62">
        <f t="shared" si="61"/>
        <v>18606</v>
      </c>
      <c r="M82" s="62">
        <f t="shared" si="61"/>
        <v>54951</v>
      </c>
      <c r="N82" s="62">
        <f t="shared" si="61"/>
        <v>94577</v>
      </c>
      <c r="O82" s="62">
        <f t="shared" si="61"/>
        <v>8977</v>
      </c>
      <c r="P82" s="62">
        <f t="shared" si="61"/>
        <v>9104</v>
      </c>
      <c r="Q82" s="62">
        <f t="shared" si="61"/>
        <v>17974</v>
      </c>
      <c r="R82" s="62">
        <f t="shared" si="61"/>
        <v>14360</v>
      </c>
      <c r="S82" s="62">
        <f>S14+S20</f>
        <v>50415</v>
      </c>
      <c r="T82" s="62">
        <f t="shared" ref="T82:AD82" si="62">T14+T20</f>
        <v>25843</v>
      </c>
      <c r="U82" s="62">
        <f t="shared" si="62"/>
        <v>23496</v>
      </c>
      <c r="V82" s="62">
        <f t="shared" si="62"/>
        <v>26839</v>
      </c>
      <c r="W82" s="62">
        <f t="shared" si="62"/>
        <v>25679</v>
      </c>
      <c r="X82" s="62">
        <f t="shared" si="62"/>
        <v>101857</v>
      </c>
      <c r="Y82" s="62">
        <f t="shared" si="62"/>
        <v>27721</v>
      </c>
      <c r="Z82" s="62">
        <f t="shared" si="62"/>
        <v>25859.579890000001</v>
      </c>
      <c r="AA82" s="62">
        <f t="shared" si="62"/>
        <v>60405.420109999999</v>
      </c>
      <c r="AB82" s="62">
        <f t="shared" si="62"/>
        <v>37124</v>
      </c>
      <c r="AC82" s="62">
        <f t="shared" si="62"/>
        <v>151110</v>
      </c>
      <c r="AD82" s="62">
        <f t="shared" si="62"/>
        <v>38842</v>
      </c>
      <c r="AE82" s="62">
        <f t="shared" si="60"/>
        <v>52803.135320000001</v>
      </c>
      <c r="AF82" s="62">
        <f t="shared" si="60"/>
        <v>64875.407743853772</v>
      </c>
      <c r="AG82" s="171">
        <f t="shared" ref="AG82:AH84" si="63">AG14+AG20</f>
        <v>54573.775371983633</v>
      </c>
      <c r="AH82" s="171">
        <f t="shared" si="63"/>
        <v>211094.3184358374</v>
      </c>
      <c r="AI82" s="171">
        <v>43297.742400000003</v>
      </c>
    </row>
    <row r="83" spans="1:35" s="14" customFormat="1" ht="13" x14ac:dyDescent="0.3">
      <c r="A83" s="15"/>
      <c r="B83" s="15" t="s">
        <v>212</v>
      </c>
      <c r="C83" s="15" t="s">
        <v>38</v>
      </c>
      <c r="D83" s="61">
        <f t="shared" ref="D83:R83" si="64">D15+D21</f>
        <v>890</v>
      </c>
      <c r="E83" s="61">
        <f t="shared" si="64"/>
        <v>1270</v>
      </c>
      <c r="F83" s="61">
        <f t="shared" si="64"/>
        <v>-1345</v>
      </c>
      <c r="G83" s="61">
        <f t="shared" si="64"/>
        <v>-101</v>
      </c>
      <c r="H83" s="61">
        <f t="shared" si="64"/>
        <v>332</v>
      </c>
      <c r="I83" s="61">
        <f t="shared" si="64"/>
        <v>156</v>
      </c>
      <c r="J83" s="61">
        <f t="shared" si="64"/>
        <v>518</v>
      </c>
      <c r="K83" s="61">
        <f t="shared" si="64"/>
        <v>2391</v>
      </c>
      <c r="L83" s="61">
        <f t="shared" si="64"/>
        <v>1939</v>
      </c>
      <c r="M83" s="61">
        <f t="shared" si="64"/>
        <v>-69</v>
      </c>
      <c r="N83" s="61">
        <f t="shared" si="64"/>
        <v>4779</v>
      </c>
      <c r="O83" s="61">
        <f t="shared" si="64"/>
        <v>638</v>
      </c>
      <c r="P83" s="61">
        <f t="shared" si="64"/>
        <v>-4056</v>
      </c>
      <c r="Q83" s="61">
        <f t="shared" si="64"/>
        <v>-4273</v>
      </c>
      <c r="R83" s="61">
        <f t="shared" si="64"/>
        <v>-3517</v>
      </c>
      <c r="S83" s="61">
        <f>S15+S21</f>
        <v>-11209</v>
      </c>
      <c r="T83" s="61">
        <f t="shared" ref="T83:AD83" si="65">T15+T21</f>
        <v>-4795</v>
      </c>
      <c r="U83" s="61">
        <f t="shared" si="65"/>
        <v>-3079</v>
      </c>
      <c r="V83" s="61">
        <f t="shared" si="65"/>
        <v>-2245</v>
      </c>
      <c r="W83" s="61">
        <f t="shared" si="65"/>
        <v>-3192</v>
      </c>
      <c r="X83" s="61">
        <f t="shared" si="65"/>
        <v>-13311</v>
      </c>
      <c r="Y83" s="61">
        <f t="shared" si="65"/>
        <v>-288</v>
      </c>
      <c r="Z83" s="61">
        <f t="shared" si="65"/>
        <v>-301.99063999999998</v>
      </c>
      <c r="AA83" s="61">
        <f t="shared" si="65"/>
        <v>718.42602000001716</v>
      </c>
      <c r="AB83" s="61">
        <f t="shared" si="65"/>
        <v>2483</v>
      </c>
      <c r="AC83" s="61">
        <f t="shared" si="65"/>
        <v>2611.4353800000172</v>
      </c>
      <c r="AD83" s="61">
        <f t="shared" si="65"/>
        <v>3157</v>
      </c>
      <c r="AE83" s="61">
        <f t="shared" si="60"/>
        <v>1699.3576200000007</v>
      </c>
      <c r="AF83" s="61">
        <f t="shared" si="60"/>
        <v>2285.1051100000004</v>
      </c>
      <c r="AG83" s="177">
        <f t="shared" si="63"/>
        <v>1917.3279750000056</v>
      </c>
      <c r="AH83" s="177">
        <f t="shared" si="63"/>
        <v>9058.7907049999994</v>
      </c>
      <c r="AI83" s="177">
        <v>1532.3494000000003</v>
      </c>
    </row>
    <row r="84" spans="1:35" s="26" customFormat="1" ht="13" x14ac:dyDescent="0.3">
      <c r="A84" s="25"/>
      <c r="B84" s="25" t="s">
        <v>214</v>
      </c>
      <c r="C84" s="25" t="s">
        <v>224</v>
      </c>
      <c r="D84" s="63">
        <f t="shared" ref="D84:R84" si="66">D16+D22</f>
        <v>6308</v>
      </c>
      <c r="E84" s="63">
        <f t="shared" si="66"/>
        <v>809</v>
      </c>
      <c r="F84" s="63">
        <f t="shared" si="66"/>
        <v>1722</v>
      </c>
      <c r="G84" s="63">
        <f t="shared" si="66"/>
        <v>420</v>
      </c>
      <c r="H84" s="63">
        <f t="shared" si="66"/>
        <v>2101</v>
      </c>
      <c r="I84" s="63">
        <f t="shared" si="66"/>
        <v>5052</v>
      </c>
      <c r="J84" s="63">
        <f t="shared" si="66"/>
        <v>-253</v>
      </c>
      <c r="K84" s="63">
        <f t="shared" si="66"/>
        <v>-359</v>
      </c>
      <c r="L84" s="63">
        <f t="shared" si="66"/>
        <v>-262</v>
      </c>
      <c r="M84" s="63">
        <f t="shared" si="66"/>
        <v>703</v>
      </c>
      <c r="N84" s="63">
        <f t="shared" si="66"/>
        <v>-171</v>
      </c>
      <c r="O84" s="63">
        <f t="shared" si="66"/>
        <v>742</v>
      </c>
      <c r="P84" s="63">
        <f t="shared" si="66"/>
        <v>868</v>
      </c>
      <c r="Q84" s="63">
        <f t="shared" si="66"/>
        <v>-2494</v>
      </c>
      <c r="R84" s="63">
        <f t="shared" si="66"/>
        <v>-816</v>
      </c>
      <c r="S84" s="63">
        <f>S16+S22</f>
        <v>-1699</v>
      </c>
      <c r="T84" s="63">
        <f t="shared" ref="T84:AD84" si="67">T16+T22</f>
        <v>912</v>
      </c>
      <c r="U84" s="63">
        <f t="shared" si="67"/>
        <v>-120</v>
      </c>
      <c r="V84" s="63">
        <f t="shared" si="67"/>
        <v>-1805</v>
      </c>
      <c r="W84" s="63">
        <f t="shared" si="67"/>
        <v>-1833</v>
      </c>
      <c r="X84" s="63">
        <f t="shared" si="67"/>
        <v>-2846</v>
      </c>
      <c r="Y84" s="63">
        <f t="shared" si="67"/>
        <v>-1499</v>
      </c>
      <c r="Z84" s="63">
        <f t="shared" si="67"/>
        <v>1030.557179999998</v>
      </c>
      <c r="AA84" s="63">
        <f t="shared" si="67"/>
        <v>80.508569999996325</v>
      </c>
      <c r="AB84" s="63">
        <f t="shared" si="67"/>
        <v>1192.6518300000062</v>
      </c>
      <c r="AC84" s="63">
        <f t="shared" si="67"/>
        <v>804.71758000000045</v>
      </c>
      <c r="AD84" s="63">
        <f t="shared" si="67"/>
        <v>620</v>
      </c>
      <c r="AE84" s="63">
        <f t="shared" si="60"/>
        <v>886.14072000000033</v>
      </c>
      <c r="AF84" s="63">
        <f t="shared" si="60"/>
        <v>1196.06567</v>
      </c>
      <c r="AG84" s="181">
        <f t="shared" si="63"/>
        <v>708.61148999999887</v>
      </c>
      <c r="AH84" s="181">
        <f t="shared" si="63"/>
        <v>3410.8178799999987</v>
      </c>
      <c r="AI84" s="181">
        <v>763.78632000000073</v>
      </c>
    </row>
    <row r="85" spans="1:35" s="112" customFormat="1" ht="13" x14ac:dyDescent="0.3">
      <c r="A85" s="110"/>
      <c r="B85" s="110"/>
      <c r="C85" s="110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</row>
    <row r="86" spans="1:35" s="6" customFormat="1" ht="13" x14ac:dyDescent="0.3">
      <c r="A86" s="21" t="s">
        <v>0</v>
      </c>
      <c r="B86" s="21" t="s">
        <v>256</v>
      </c>
      <c r="C86" s="21" t="s">
        <v>257</v>
      </c>
      <c r="D86" s="6" t="str">
        <f t="shared" ref="D86:AD86" si="68">+D$6</f>
        <v>2019 (FY)</v>
      </c>
      <c r="E86" s="6" t="str">
        <f t="shared" si="68"/>
        <v>1T20</v>
      </c>
      <c r="F86" s="6" t="str">
        <f t="shared" si="68"/>
        <v>2T20</v>
      </c>
      <c r="G86" s="6" t="str">
        <f t="shared" si="68"/>
        <v>3T20</v>
      </c>
      <c r="H86" s="6" t="str">
        <f t="shared" si="68"/>
        <v>4T20</v>
      </c>
      <c r="I86" s="6" t="str">
        <f t="shared" si="68"/>
        <v>2020 (FY)</v>
      </c>
      <c r="J86" s="6" t="str">
        <f t="shared" si="68"/>
        <v>1T21</v>
      </c>
      <c r="K86" s="6" t="str">
        <f t="shared" si="68"/>
        <v>2T21</v>
      </c>
      <c r="L86" s="6" t="str">
        <f t="shared" si="68"/>
        <v>3T21</v>
      </c>
      <c r="M86" s="6" t="str">
        <f t="shared" si="68"/>
        <v>4T21</v>
      </c>
      <c r="N86" s="6" t="str">
        <f t="shared" si="68"/>
        <v>2021 (FY)</v>
      </c>
      <c r="O86" s="6" t="str">
        <f t="shared" si="68"/>
        <v>1T22</v>
      </c>
      <c r="P86" s="6" t="str">
        <f t="shared" si="68"/>
        <v>2T22</v>
      </c>
      <c r="Q86" s="6" t="str">
        <f t="shared" si="68"/>
        <v>3T22</v>
      </c>
      <c r="R86" s="6" t="str">
        <f t="shared" si="68"/>
        <v>4T22</v>
      </c>
      <c r="S86" s="6" t="str">
        <f t="shared" si="68"/>
        <v>2022 (FY)</v>
      </c>
      <c r="T86" s="6" t="str">
        <f t="shared" si="68"/>
        <v>1T23</v>
      </c>
      <c r="U86" s="6" t="str">
        <f t="shared" si="68"/>
        <v>2T23</v>
      </c>
      <c r="V86" s="6" t="str">
        <f t="shared" si="68"/>
        <v>3T23</v>
      </c>
      <c r="W86" s="6" t="str">
        <f t="shared" si="68"/>
        <v>4T23</v>
      </c>
      <c r="X86" s="6" t="str">
        <f t="shared" si="68"/>
        <v>2023 (FY)</v>
      </c>
      <c r="Y86" s="6" t="str">
        <f t="shared" si="68"/>
        <v>1T24</v>
      </c>
      <c r="Z86" s="6" t="str">
        <f t="shared" si="68"/>
        <v>2T24</v>
      </c>
      <c r="AA86" s="6" t="str">
        <f t="shared" si="68"/>
        <v>3T24</v>
      </c>
      <c r="AB86" s="6" t="str">
        <f t="shared" si="68"/>
        <v>4T24</v>
      </c>
      <c r="AC86" s="6" t="str">
        <f t="shared" si="68"/>
        <v>2024 (FY)</v>
      </c>
      <c r="AD86" s="6" t="str">
        <f t="shared" si="68"/>
        <v>1T25</v>
      </c>
      <c r="AE86" s="6" t="str">
        <f>+AE$6</f>
        <v>2T25</v>
      </c>
      <c r="AF86" s="6" t="s">
        <v>323</v>
      </c>
      <c r="AG86" s="6" t="s">
        <v>336</v>
      </c>
      <c r="AH86" s="6" t="str">
        <f>+AH$6</f>
        <v>2025(FY)</v>
      </c>
      <c r="AI86" s="6" t="s">
        <v>354</v>
      </c>
    </row>
    <row r="87" spans="1:35" s="6" customFormat="1" ht="13" x14ac:dyDescent="0.3">
      <c r="A87" s="21"/>
      <c r="B87" s="21" t="s">
        <v>258</v>
      </c>
      <c r="C87" s="21" t="s">
        <v>258</v>
      </c>
      <c r="D87" s="6" t="str">
        <f t="shared" ref="D87:AD87" si="69">+D$7</f>
        <v>2019 (FY)</v>
      </c>
      <c r="E87" s="6" t="str">
        <f t="shared" si="69"/>
        <v>1Q20</v>
      </c>
      <c r="F87" s="6" t="str">
        <f t="shared" si="69"/>
        <v>2Q20</v>
      </c>
      <c r="G87" s="6" t="str">
        <f t="shared" si="69"/>
        <v>3Q20</v>
      </c>
      <c r="H87" s="6" t="str">
        <f t="shared" si="69"/>
        <v>4Q20</v>
      </c>
      <c r="I87" s="6" t="str">
        <f t="shared" si="69"/>
        <v>2020 (FY)</v>
      </c>
      <c r="J87" s="6" t="str">
        <f t="shared" si="69"/>
        <v>1Q21</v>
      </c>
      <c r="K87" s="6" t="str">
        <f t="shared" si="69"/>
        <v>2Q21</v>
      </c>
      <c r="L87" s="6" t="str">
        <f t="shared" si="69"/>
        <v>3Q21</v>
      </c>
      <c r="M87" s="6" t="str">
        <f t="shared" si="69"/>
        <v>4Q21</v>
      </c>
      <c r="N87" s="6" t="str">
        <f t="shared" si="69"/>
        <v>2021 (FY)</v>
      </c>
      <c r="O87" s="6" t="str">
        <f t="shared" si="69"/>
        <v>1Q22</v>
      </c>
      <c r="P87" s="6" t="str">
        <f t="shared" si="69"/>
        <v>2Q22</v>
      </c>
      <c r="Q87" s="6" t="str">
        <f t="shared" si="69"/>
        <v>3Q22</v>
      </c>
      <c r="R87" s="6" t="str">
        <f t="shared" si="69"/>
        <v>4Q22</v>
      </c>
      <c r="S87" s="6" t="str">
        <f t="shared" si="69"/>
        <v>2022 (FY)</v>
      </c>
      <c r="T87" s="6" t="str">
        <f t="shared" si="69"/>
        <v>1Q23</v>
      </c>
      <c r="U87" s="6" t="str">
        <f t="shared" si="69"/>
        <v>2Q23</v>
      </c>
      <c r="V87" s="6" t="str">
        <f t="shared" si="69"/>
        <v>3Q23</v>
      </c>
      <c r="W87" s="6" t="str">
        <f t="shared" si="69"/>
        <v>4Q23</v>
      </c>
      <c r="X87" s="6" t="str">
        <f t="shared" si="69"/>
        <v>2023 (FY)</v>
      </c>
      <c r="Y87" s="6" t="str">
        <f t="shared" si="69"/>
        <v>1Q24</v>
      </c>
      <c r="Z87" s="6" t="str">
        <f t="shared" si="69"/>
        <v>2Q24</v>
      </c>
      <c r="AA87" s="6" t="str">
        <f t="shared" si="69"/>
        <v>3Q24</v>
      </c>
      <c r="AB87" s="6" t="str">
        <f t="shared" si="69"/>
        <v>4Q24</v>
      </c>
      <c r="AC87" s="6" t="str">
        <f t="shared" si="69"/>
        <v>2024 (FY)</v>
      </c>
      <c r="AD87" s="6" t="str">
        <f t="shared" si="69"/>
        <v>1Q25</v>
      </c>
      <c r="AE87" s="6" t="str">
        <f>+AE$7</f>
        <v>2Q25</v>
      </c>
      <c r="AF87" s="6" t="s">
        <v>324</v>
      </c>
      <c r="AG87" s="6" t="s">
        <v>337</v>
      </c>
      <c r="AH87" s="6" t="str">
        <f t="shared" ref="AH87" si="70">+AH$7</f>
        <v>2025 (FY)</v>
      </c>
      <c r="AI87" s="6" t="s">
        <v>355</v>
      </c>
    </row>
    <row r="88" spans="1:35" s="6" customFormat="1" ht="13" x14ac:dyDescent="0.3">
      <c r="A88" s="21"/>
      <c r="B88" s="21" t="s">
        <v>256</v>
      </c>
      <c r="C88" s="21" t="s">
        <v>257</v>
      </c>
      <c r="D88" s="82">
        <f t="shared" ref="D88:AD88" si="71">D80/D12</f>
        <v>0.45322027958972061</v>
      </c>
      <c r="E88" s="82">
        <f t="shared" si="71"/>
        <v>0.49720792490356142</v>
      </c>
      <c r="F88" s="82">
        <f t="shared" si="71"/>
        <v>0.47490885051484433</v>
      </c>
      <c r="G88" s="82">
        <f t="shared" si="71"/>
        <v>0.47781363659648585</v>
      </c>
      <c r="H88" s="82">
        <f t="shared" si="71"/>
        <v>0.54231299384573572</v>
      </c>
      <c r="I88" s="82">
        <f t="shared" si="71"/>
        <v>0.49855345334313006</v>
      </c>
      <c r="J88" s="82">
        <f t="shared" si="71"/>
        <v>0.43237660485021395</v>
      </c>
      <c r="K88" s="82">
        <f t="shared" si="71"/>
        <v>0.47834108343133341</v>
      </c>
      <c r="L88" s="82">
        <f t="shared" si="71"/>
        <v>0.50011518314119452</v>
      </c>
      <c r="M88" s="82">
        <f t="shared" si="71"/>
        <v>0.64466443104214</v>
      </c>
      <c r="N88" s="82">
        <f t="shared" si="71"/>
        <v>0.53341783080300154</v>
      </c>
      <c r="O88" s="82">
        <f t="shared" si="71"/>
        <v>0.48187974925926674</v>
      </c>
      <c r="P88" s="82">
        <f t="shared" si="71"/>
        <v>0.45179666958808062</v>
      </c>
      <c r="Q88" s="82">
        <f t="shared" si="71"/>
        <v>0.47928510931802393</v>
      </c>
      <c r="R88" s="82">
        <f t="shared" si="71"/>
        <v>0.4515119218342829</v>
      </c>
      <c r="S88" s="82">
        <f t="shared" si="71"/>
        <v>0.46513707555124045</v>
      </c>
      <c r="T88" s="82">
        <f t="shared" si="71"/>
        <v>0.49419365087770395</v>
      </c>
      <c r="U88" s="82">
        <f t="shared" si="71"/>
        <v>0.54437055721164873</v>
      </c>
      <c r="V88" s="82">
        <f t="shared" si="71"/>
        <v>0.53057907881141642</v>
      </c>
      <c r="W88" s="82">
        <f t="shared" si="71"/>
        <v>0.51716879755472411</v>
      </c>
      <c r="X88" s="82">
        <f t="shared" si="71"/>
        <v>0.52178348937748942</v>
      </c>
      <c r="Y88" s="82">
        <f t="shared" si="71"/>
        <v>0.58348235204115784</v>
      </c>
      <c r="Z88" s="82">
        <f t="shared" si="71"/>
        <v>0.56703932442103877</v>
      </c>
      <c r="AA88" s="82">
        <f t="shared" si="71"/>
        <v>0.64066270759225563</v>
      </c>
      <c r="AB88" s="82">
        <f t="shared" si="71"/>
        <v>0.60912683348826713</v>
      </c>
      <c r="AC88" s="82">
        <f t="shared" si="71"/>
        <v>0.6018665301281978</v>
      </c>
      <c r="AD88" s="82">
        <f t="shared" si="71"/>
        <v>0.59638704318936875</v>
      </c>
      <c r="AE88" s="82">
        <f t="shared" ref="AE88:AH92" si="72">AE80/AE12</f>
        <v>0.61362474969812364</v>
      </c>
      <c r="AF88" s="82">
        <f t="shared" si="72"/>
        <v>0.62589219000177909</v>
      </c>
      <c r="AG88" s="82">
        <f t="shared" si="72"/>
        <v>0.62730718258864115</v>
      </c>
      <c r="AH88" s="82">
        <f t="shared" si="72"/>
        <v>0.61639843497780822</v>
      </c>
      <c r="AI88" s="82">
        <f>AI72</f>
        <v>0.55200618589085282</v>
      </c>
    </row>
    <row r="89" spans="1:35" s="14" customFormat="1" ht="13" x14ac:dyDescent="0.3">
      <c r="A89" s="15"/>
      <c r="B89" s="15" t="s">
        <v>213</v>
      </c>
      <c r="C89" s="15" t="s">
        <v>35</v>
      </c>
      <c r="D89" s="70">
        <f t="shared" ref="D89:AD89" si="73">D81/D13</f>
        <v>0.51540150824562858</v>
      </c>
      <c r="E89" s="70">
        <f t="shared" si="73"/>
        <v>0.56126864531894316</v>
      </c>
      <c r="F89" s="70">
        <f t="shared" si="73"/>
        <v>0.46931232675050505</v>
      </c>
      <c r="G89" s="70">
        <f t="shared" si="73"/>
        <v>0.47414974461193471</v>
      </c>
      <c r="H89" s="70">
        <f t="shared" si="73"/>
        <v>0.49831339575140277</v>
      </c>
      <c r="I89" s="70">
        <f t="shared" si="73"/>
        <v>0.49954998769024622</v>
      </c>
      <c r="J89" s="70">
        <f t="shared" si="73"/>
        <v>0.44739336492890996</v>
      </c>
      <c r="K89" s="70">
        <f t="shared" si="73"/>
        <v>0.49873942157917556</v>
      </c>
      <c r="L89" s="70">
        <f t="shared" si="73"/>
        <v>0.46451400639217899</v>
      </c>
      <c r="M89" s="70">
        <f t="shared" si="73"/>
        <v>0.5688759556355375</v>
      </c>
      <c r="N89" s="70">
        <f t="shared" si="73"/>
        <v>0.49916946947284746</v>
      </c>
      <c r="O89" s="70">
        <f t="shared" si="73"/>
        <v>0.49864881055392113</v>
      </c>
      <c r="P89" s="70">
        <f t="shared" si="73"/>
        <v>0.50956302079916016</v>
      </c>
      <c r="Q89" s="70">
        <f t="shared" si="73"/>
        <v>0.54085800180508936</v>
      </c>
      <c r="R89" s="70">
        <f t="shared" si="73"/>
        <v>0.50368054568708254</v>
      </c>
      <c r="S89" s="70">
        <f t="shared" si="73"/>
        <v>0.51601273698850747</v>
      </c>
      <c r="T89" s="70">
        <f t="shared" si="73"/>
        <v>0.52280102851868404</v>
      </c>
      <c r="U89" s="70">
        <f t="shared" si="73"/>
        <v>0.58366889927625676</v>
      </c>
      <c r="V89" s="70">
        <f t="shared" si="73"/>
        <v>0.54669264719045418</v>
      </c>
      <c r="W89" s="70">
        <f t="shared" si="73"/>
        <v>0.53619788262972157</v>
      </c>
      <c r="X89" s="70">
        <f t="shared" si="73"/>
        <v>0.54774699367604252</v>
      </c>
      <c r="Y89" s="70">
        <f t="shared" si="73"/>
        <v>0.59156048014773777</v>
      </c>
      <c r="Z89" s="70">
        <f t="shared" si="73"/>
        <v>0.59466235371789733</v>
      </c>
      <c r="AA89" s="70">
        <f t="shared" si="73"/>
        <v>0.60509748070526159</v>
      </c>
      <c r="AB89" s="70">
        <f t="shared" si="73"/>
        <v>0.59391539132408633</v>
      </c>
      <c r="AC89" s="70">
        <f t="shared" si="73"/>
        <v>0.59629761262807002</v>
      </c>
      <c r="AD89" s="70">
        <f t="shared" si="73"/>
        <v>0.5794655818410287</v>
      </c>
      <c r="AE89" s="157">
        <f t="shared" si="72"/>
        <v>0.59726939018552161</v>
      </c>
      <c r="AF89" s="70">
        <f>AF81/AF13</f>
        <v>0.58991080339125324</v>
      </c>
      <c r="AG89" s="173">
        <f>AG81/AG13</f>
        <v>0.59684636568168292</v>
      </c>
      <c r="AH89" s="193">
        <f>AH81/AH13</f>
        <v>0.59096540838601641</v>
      </c>
      <c r="AI89" s="193">
        <v>0.67568775659259406</v>
      </c>
    </row>
    <row r="90" spans="1:35" s="12" customFormat="1" ht="13" x14ac:dyDescent="0.3">
      <c r="A90" s="11"/>
      <c r="B90" s="11" t="s">
        <v>37</v>
      </c>
      <c r="C90" s="11" t="s">
        <v>36</v>
      </c>
      <c r="D90" s="71">
        <f t="shared" ref="D90:AD90" si="74">D82/D14</f>
        <v>0.85856103793984662</v>
      </c>
      <c r="E90" s="71">
        <f t="shared" si="74"/>
        <v>0.91467727674624222</v>
      </c>
      <c r="F90" s="71">
        <f t="shared" si="74"/>
        <v>0.946699944536883</v>
      </c>
      <c r="G90" s="71">
        <f t="shared" si="74"/>
        <v>0.93046435272045025</v>
      </c>
      <c r="H90" s="71">
        <f t="shared" si="74"/>
        <v>0.9635009155984684</v>
      </c>
      <c r="I90" s="71">
        <f t="shared" si="74"/>
        <v>0.94335737816653409</v>
      </c>
      <c r="J90" s="71">
        <f t="shared" si="74"/>
        <v>0.87011484020297336</v>
      </c>
      <c r="K90" s="71">
        <f t="shared" si="74"/>
        <v>0.91453199967471743</v>
      </c>
      <c r="L90" s="71">
        <f t="shared" si="74"/>
        <v>0.93695236176855679</v>
      </c>
      <c r="M90" s="71">
        <f t="shared" si="74"/>
        <v>0.91450872054320331</v>
      </c>
      <c r="N90" s="71">
        <f t="shared" si="74"/>
        <v>0.91399938149909155</v>
      </c>
      <c r="O90" s="71">
        <f t="shared" si="74"/>
        <v>0.89805922368947577</v>
      </c>
      <c r="P90" s="71">
        <f t="shared" si="74"/>
        <v>0.86721280243855969</v>
      </c>
      <c r="Q90" s="71">
        <f t="shared" si="74"/>
        <v>0.81231075157047949</v>
      </c>
      <c r="R90" s="71">
        <f t="shared" si="74"/>
        <v>0.84040498624685434</v>
      </c>
      <c r="S90" s="71">
        <f t="shared" si="74"/>
        <v>0.84435921484558185</v>
      </c>
      <c r="T90" s="71">
        <f t="shared" si="74"/>
        <v>0.89480973650496864</v>
      </c>
      <c r="U90" s="71">
        <f t="shared" si="74"/>
        <v>0.85499072086168626</v>
      </c>
      <c r="V90" s="71">
        <f t="shared" si="74"/>
        <v>0.87818205614815781</v>
      </c>
      <c r="W90" s="71">
        <f t="shared" si="74"/>
        <v>0.86101797210300424</v>
      </c>
      <c r="X90" s="71">
        <f t="shared" si="74"/>
        <v>0.87245177647582828</v>
      </c>
      <c r="Y90" s="71">
        <f t="shared" si="74"/>
        <v>0.90325839035516453</v>
      </c>
      <c r="Z90" s="71">
        <f t="shared" si="74"/>
        <v>0.76101579257818941</v>
      </c>
      <c r="AA90" s="71">
        <f t="shared" si="74"/>
        <v>0.94192649229115033</v>
      </c>
      <c r="AB90" s="71">
        <f t="shared" si="74"/>
        <v>0.88802774787704819</v>
      </c>
      <c r="AC90" s="71">
        <f t="shared" si="74"/>
        <v>0.88573019548078891</v>
      </c>
      <c r="AD90" s="71">
        <f t="shared" si="74"/>
        <v>0.82400610972039545</v>
      </c>
      <c r="AE90" s="71">
        <f t="shared" si="72"/>
        <v>0.79640416515068202</v>
      </c>
      <c r="AF90" s="71">
        <f t="shared" si="72"/>
        <v>0.84165917392736911</v>
      </c>
      <c r="AG90" s="174">
        <f t="shared" ref="AG90:AH92" si="75">AG82/AG14</f>
        <v>0.81501231942233976</v>
      </c>
      <c r="AH90" s="194">
        <f t="shared" si="75"/>
        <v>0.81984429690083716</v>
      </c>
      <c r="AI90" s="194">
        <v>0.39002009806835103</v>
      </c>
    </row>
    <row r="91" spans="1:35" s="14" customFormat="1" ht="13" x14ac:dyDescent="0.3">
      <c r="A91" s="15"/>
      <c r="B91" s="15" t="s">
        <v>212</v>
      </c>
      <c r="C91" s="15" t="s">
        <v>38</v>
      </c>
      <c r="D91" s="70">
        <f t="shared" ref="D91:AD91" si="76">D83/D15</f>
        <v>1.8954317964008094E-2</v>
      </c>
      <c r="E91" s="70">
        <f t="shared" si="76"/>
        <v>8.9468122578372666E-2</v>
      </c>
      <c r="F91" s="70">
        <f t="shared" si="76"/>
        <v>-0.11353085169241157</v>
      </c>
      <c r="G91" s="70">
        <f t="shared" si="76"/>
        <v>-8.1333548075374455E-3</v>
      </c>
      <c r="H91" s="70">
        <f t="shared" si="76"/>
        <v>2.6572754922362735E-2</v>
      </c>
      <c r="I91" s="70">
        <f t="shared" si="76"/>
        <v>3.0615849589826116E-3</v>
      </c>
      <c r="J91" s="70">
        <f t="shared" si="76"/>
        <v>4.8748353096179184E-2</v>
      </c>
      <c r="K91" s="70">
        <f t="shared" si="76"/>
        <v>0.18530574285049989</v>
      </c>
      <c r="L91" s="70">
        <f t="shared" si="76"/>
        <v>0.22051631979984079</v>
      </c>
      <c r="M91" s="70">
        <f t="shared" si="76"/>
        <v>-1.0095098756400878E-2</v>
      </c>
      <c r="N91" s="70">
        <f t="shared" si="76"/>
        <v>0.12204714355032306</v>
      </c>
      <c r="O91" s="70">
        <f t="shared" si="76"/>
        <v>0.16878306878306878</v>
      </c>
      <c r="P91" s="70">
        <f t="shared" si="76"/>
        <v>-0.60745843941890065</v>
      </c>
      <c r="Q91" s="70">
        <f t="shared" si="76"/>
        <v>-0.35871390194761588</v>
      </c>
      <c r="R91" s="70">
        <f t="shared" si="76"/>
        <v>-0.39221590275454443</v>
      </c>
      <c r="S91" s="70">
        <f t="shared" si="76"/>
        <v>-0.35771501515876813</v>
      </c>
      <c r="T91" s="70">
        <f t="shared" si="76"/>
        <v>-0.38286489939316515</v>
      </c>
      <c r="U91" s="70">
        <f t="shared" si="76"/>
        <v>-0.22943368107302534</v>
      </c>
      <c r="V91" s="70">
        <f t="shared" si="76"/>
        <v>-0.21413582602060283</v>
      </c>
      <c r="W91" s="70">
        <f t="shared" si="76"/>
        <v>-0.35684740078256011</v>
      </c>
      <c r="X91" s="70">
        <f t="shared" si="76"/>
        <v>-0.29336830273510678</v>
      </c>
      <c r="Y91" s="70">
        <f t="shared" si="76"/>
        <v>-2.7467811158798282E-2</v>
      </c>
      <c r="Z91" s="70">
        <f t="shared" si="76"/>
        <v>-2.1724344208314809E-2</v>
      </c>
      <c r="AA91" s="70">
        <f t="shared" si="76"/>
        <v>4.3872414691218643E-2</v>
      </c>
      <c r="AB91" s="70">
        <f t="shared" si="76"/>
        <v>0.15131017672151129</v>
      </c>
      <c r="AC91" s="70">
        <f t="shared" si="76"/>
        <v>4.5677326043259803E-2</v>
      </c>
      <c r="AD91" s="70">
        <f t="shared" si="76"/>
        <v>0.18457670720299346</v>
      </c>
      <c r="AE91" s="70">
        <f t="shared" si="72"/>
        <v>0.10302439778370313</v>
      </c>
      <c r="AF91" s="70">
        <f t="shared" si="72"/>
        <v>0.13215137288675322</v>
      </c>
      <c r="AG91" s="173">
        <f t="shared" si="75"/>
        <v>0.16473824354651354</v>
      </c>
      <c r="AH91" s="193">
        <f t="shared" si="75"/>
        <v>0.1448736231570886</v>
      </c>
      <c r="AI91" s="193">
        <v>0.11562296700746411</v>
      </c>
    </row>
    <row r="92" spans="1:35" s="26" customFormat="1" ht="13" x14ac:dyDescent="0.3">
      <c r="A92" s="25"/>
      <c r="B92" s="25" t="s">
        <v>214</v>
      </c>
      <c r="C92" s="25" t="s">
        <v>224</v>
      </c>
      <c r="D92" s="72">
        <f t="shared" ref="D92:AD92" si="77">D84/D16</f>
        <v>0.21502590673575128</v>
      </c>
      <c r="E92" s="72">
        <f t="shared" si="77"/>
        <v>0.11434628975265018</v>
      </c>
      <c r="F92" s="72">
        <f t="shared" si="77"/>
        <v>0.28201768752047168</v>
      </c>
      <c r="G92" s="72">
        <f t="shared" si="77"/>
        <v>0.10727969348659004</v>
      </c>
      <c r="H92" s="72">
        <f t="shared" si="77"/>
        <v>0.36711514939716933</v>
      </c>
      <c r="I92" s="72">
        <f t="shared" si="77"/>
        <v>0.22139445199176125</v>
      </c>
      <c r="J92" s="72">
        <f t="shared" si="77"/>
        <v>-7.1854586765123546E-2</v>
      </c>
      <c r="K92" s="72">
        <f t="shared" si="77"/>
        <v>-6.8853087840429608E-2</v>
      </c>
      <c r="L92" s="72">
        <f t="shared" si="77"/>
        <v>-3.5588155392556373E-2</v>
      </c>
      <c r="M92" s="72">
        <f t="shared" si="77"/>
        <v>6.9679849340866296E-2</v>
      </c>
      <c r="N92" s="72">
        <f t="shared" si="77"/>
        <v>-6.5302069808294508E-3</v>
      </c>
      <c r="O92" s="72">
        <f t="shared" si="77"/>
        <v>7.1822669635078884E-2</v>
      </c>
      <c r="P92" s="72">
        <f t="shared" si="77"/>
        <v>7.5419237118776614E-2</v>
      </c>
      <c r="Q92" s="72">
        <f t="shared" si="77"/>
        <v>-0.27319531164421074</v>
      </c>
      <c r="R92" s="72">
        <f t="shared" si="77"/>
        <v>-6.5726943213854208E-2</v>
      </c>
      <c r="S92" s="72">
        <f t="shared" si="77"/>
        <v>-3.9161000345741617E-2</v>
      </c>
      <c r="T92" s="72">
        <f t="shared" si="77"/>
        <v>8.341717735296808E-2</v>
      </c>
      <c r="U92" s="72">
        <f t="shared" si="77"/>
        <v>-1.6932411457598419E-2</v>
      </c>
      <c r="V92" s="72">
        <f t="shared" si="77"/>
        <v>-0.28578214059531348</v>
      </c>
      <c r="W92" s="72">
        <f t="shared" si="77"/>
        <v>-0.26963812886142985</v>
      </c>
      <c r="X92" s="72">
        <f t="shared" si="77"/>
        <v>-9.1411318815442927E-2</v>
      </c>
      <c r="Y92" s="72">
        <f t="shared" si="77"/>
        <v>-0.27150878464046369</v>
      </c>
      <c r="Z92" s="72">
        <f t="shared" si="77"/>
        <v>0.15112455750292139</v>
      </c>
      <c r="AA92" s="72">
        <f t="shared" si="77"/>
        <v>1.3410583866081838E-2</v>
      </c>
      <c r="AB92" s="72">
        <f t="shared" si="77"/>
        <v>0.26012035550708967</v>
      </c>
      <c r="AC92" s="72">
        <f t="shared" si="77"/>
        <v>3.5096646470584879E-2</v>
      </c>
      <c r="AD92" s="72">
        <f t="shared" si="77"/>
        <v>0.2725274725274725</v>
      </c>
      <c r="AE92" s="72">
        <f t="shared" si="72"/>
        <v>0.32752384622367636</v>
      </c>
      <c r="AF92" s="72">
        <f t="shared" si="72"/>
        <v>0.27422410606284991</v>
      </c>
      <c r="AG92" s="175">
        <f t="shared" si="75"/>
        <v>0.18906724862504076</v>
      </c>
      <c r="AH92" s="195">
        <f t="shared" si="75"/>
        <v>0.260563785908831</v>
      </c>
      <c r="AI92" s="195">
        <v>0.2002556301824841</v>
      </c>
    </row>
    <row r="93" spans="1:35" s="27" customFormat="1" x14ac:dyDescent="0.35">
      <c r="B93" s="28"/>
      <c r="C93" s="28"/>
      <c r="Y93" s="29"/>
    </row>
    <row r="94" spans="1:35" s="6" customFormat="1" ht="13" x14ac:dyDescent="0.3">
      <c r="A94" s="21" t="s">
        <v>0</v>
      </c>
      <c r="B94" s="21" t="s">
        <v>304</v>
      </c>
      <c r="C94" s="21" t="s">
        <v>305</v>
      </c>
      <c r="D94" s="6" t="str">
        <f t="shared" ref="D94:AD94" si="78">+D$6</f>
        <v>2019 (FY)</v>
      </c>
      <c r="E94" s="6" t="str">
        <f t="shared" si="78"/>
        <v>1T20</v>
      </c>
      <c r="F94" s="6" t="str">
        <f t="shared" si="78"/>
        <v>2T20</v>
      </c>
      <c r="G94" s="6" t="str">
        <f t="shared" si="78"/>
        <v>3T20</v>
      </c>
      <c r="H94" s="6" t="str">
        <f t="shared" si="78"/>
        <v>4T20</v>
      </c>
      <c r="I94" s="6" t="str">
        <f t="shared" si="78"/>
        <v>2020 (FY)</v>
      </c>
      <c r="J94" s="6" t="str">
        <f t="shared" si="78"/>
        <v>1T21</v>
      </c>
      <c r="K94" s="6" t="str">
        <f t="shared" si="78"/>
        <v>2T21</v>
      </c>
      <c r="L94" s="6" t="str">
        <f t="shared" si="78"/>
        <v>3T21</v>
      </c>
      <c r="M94" s="6" t="str">
        <f t="shared" si="78"/>
        <v>4T21</v>
      </c>
      <c r="N94" s="6" t="str">
        <f t="shared" si="78"/>
        <v>2021 (FY)</v>
      </c>
      <c r="O94" s="6" t="str">
        <f t="shared" si="78"/>
        <v>1T22</v>
      </c>
      <c r="P94" s="6" t="str">
        <f t="shared" si="78"/>
        <v>2T22</v>
      </c>
      <c r="Q94" s="6" t="str">
        <f t="shared" si="78"/>
        <v>3T22</v>
      </c>
      <c r="R94" s="6" t="str">
        <f t="shared" si="78"/>
        <v>4T22</v>
      </c>
      <c r="S94" s="6" t="str">
        <f t="shared" si="78"/>
        <v>2022 (FY)</v>
      </c>
      <c r="T94" s="6" t="str">
        <f t="shared" si="78"/>
        <v>1T23</v>
      </c>
      <c r="U94" s="6" t="str">
        <f t="shared" si="78"/>
        <v>2T23</v>
      </c>
      <c r="V94" s="6" t="str">
        <f t="shared" si="78"/>
        <v>3T23</v>
      </c>
      <c r="W94" s="6" t="str">
        <f t="shared" si="78"/>
        <v>4T23</v>
      </c>
      <c r="X94" s="6" t="str">
        <f t="shared" si="78"/>
        <v>2023 (FY)</v>
      </c>
      <c r="Y94" s="6" t="str">
        <f t="shared" si="78"/>
        <v>1T24</v>
      </c>
      <c r="Z94" s="6" t="str">
        <f t="shared" si="78"/>
        <v>2T24</v>
      </c>
      <c r="AA94" s="6" t="str">
        <f t="shared" si="78"/>
        <v>3T24</v>
      </c>
      <c r="AB94" s="6" t="str">
        <f t="shared" si="78"/>
        <v>4T24</v>
      </c>
      <c r="AC94" s="6" t="str">
        <f t="shared" si="78"/>
        <v>2024 (FY)</v>
      </c>
      <c r="AD94" s="6" t="str">
        <f t="shared" si="78"/>
        <v>1T25</v>
      </c>
      <c r="AE94" s="6" t="str">
        <f>+AE$6</f>
        <v>2T25</v>
      </c>
      <c r="AF94" s="6" t="s">
        <v>323</v>
      </c>
      <c r="AG94" s="6" t="s">
        <v>336</v>
      </c>
      <c r="AH94" s="6" t="str">
        <f>+AH$6</f>
        <v>2025(FY)</v>
      </c>
      <c r="AI94" s="6" t="s">
        <v>354</v>
      </c>
    </row>
    <row r="95" spans="1:35" s="6" customFormat="1" ht="13" x14ac:dyDescent="0.3">
      <c r="A95" s="21"/>
      <c r="B95" s="5" t="s">
        <v>319</v>
      </c>
      <c r="C95" s="5" t="s">
        <v>318</v>
      </c>
      <c r="D95" s="6" t="str">
        <f t="shared" ref="D95:AD95" si="79">+D$7</f>
        <v>2019 (FY)</v>
      </c>
      <c r="E95" s="6" t="str">
        <f t="shared" si="79"/>
        <v>1Q20</v>
      </c>
      <c r="F95" s="6" t="str">
        <f t="shared" si="79"/>
        <v>2Q20</v>
      </c>
      <c r="G95" s="6" t="str">
        <f t="shared" si="79"/>
        <v>3Q20</v>
      </c>
      <c r="H95" s="6" t="str">
        <f t="shared" si="79"/>
        <v>4Q20</v>
      </c>
      <c r="I95" s="6" t="str">
        <f t="shared" si="79"/>
        <v>2020 (FY)</v>
      </c>
      <c r="J95" s="6" t="str">
        <f t="shared" si="79"/>
        <v>1Q21</v>
      </c>
      <c r="K95" s="6" t="str">
        <f t="shared" si="79"/>
        <v>2Q21</v>
      </c>
      <c r="L95" s="6" t="str">
        <f t="shared" si="79"/>
        <v>3Q21</v>
      </c>
      <c r="M95" s="6" t="str">
        <f t="shared" si="79"/>
        <v>4Q21</v>
      </c>
      <c r="N95" s="6" t="str">
        <f t="shared" si="79"/>
        <v>2021 (FY)</v>
      </c>
      <c r="O95" s="6" t="str">
        <f t="shared" si="79"/>
        <v>1Q22</v>
      </c>
      <c r="P95" s="6" t="str">
        <f t="shared" si="79"/>
        <v>2Q22</v>
      </c>
      <c r="Q95" s="6" t="str">
        <f t="shared" si="79"/>
        <v>3Q22</v>
      </c>
      <c r="R95" s="6" t="str">
        <f t="shared" si="79"/>
        <v>4Q22</v>
      </c>
      <c r="S95" s="6" t="str">
        <f t="shared" si="79"/>
        <v>2022 (FY)</v>
      </c>
      <c r="T95" s="6" t="str">
        <f t="shared" si="79"/>
        <v>1Q23</v>
      </c>
      <c r="U95" s="6" t="str">
        <f t="shared" si="79"/>
        <v>2Q23</v>
      </c>
      <c r="V95" s="6" t="str">
        <f t="shared" si="79"/>
        <v>3Q23</v>
      </c>
      <c r="W95" s="6" t="str">
        <f t="shared" si="79"/>
        <v>4Q23</v>
      </c>
      <c r="X95" s="6" t="str">
        <f t="shared" si="79"/>
        <v>2023 (FY)</v>
      </c>
      <c r="Y95" s="6" t="str">
        <f t="shared" si="79"/>
        <v>1Q24</v>
      </c>
      <c r="Z95" s="6" t="str">
        <f t="shared" si="79"/>
        <v>2Q24</v>
      </c>
      <c r="AA95" s="6" t="str">
        <f t="shared" si="79"/>
        <v>3Q24</v>
      </c>
      <c r="AB95" s="6" t="str">
        <f t="shared" si="79"/>
        <v>4Q24</v>
      </c>
      <c r="AC95" s="6" t="str">
        <f t="shared" si="79"/>
        <v>2024 (FY)</v>
      </c>
      <c r="AD95" s="6" t="str">
        <f t="shared" si="79"/>
        <v>1Q25</v>
      </c>
      <c r="AE95" s="6" t="str">
        <f>+AE$7</f>
        <v>2Q25</v>
      </c>
      <c r="AF95" s="6" t="s">
        <v>324</v>
      </c>
      <c r="AG95" s="6" t="s">
        <v>337</v>
      </c>
      <c r="AH95" s="6" t="str">
        <f t="shared" ref="AH95" si="80">+AH$7</f>
        <v>2025 (FY)</v>
      </c>
      <c r="AI95" s="6" t="s">
        <v>355</v>
      </c>
    </row>
    <row r="96" spans="1:35" ht="13" x14ac:dyDescent="0.3">
      <c r="B96" s="142" t="s">
        <v>300</v>
      </c>
      <c r="C96" s="142" t="s">
        <v>317</v>
      </c>
      <c r="AF96" s="152" t="s">
        <v>340</v>
      </c>
    </row>
    <row r="97" spans="1:35" s="147" customFormat="1" x14ac:dyDescent="0.35">
      <c r="B97" s="148" t="s">
        <v>306</v>
      </c>
      <c r="C97" s="148"/>
      <c r="Y97" s="154"/>
      <c r="Z97" s="154"/>
      <c r="AA97" s="154"/>
      <c r="AB97" s="154"/>
      <c r="AC97" s="154"/>
      <c r="AD97" s="154">
        <f>+SUM(AD98:AD100)</f>
        <v>14278.01</v>
      </c>
      <c r="AE97" s="154">
        <f>+SUM(AE98:AE100)</f>
        <v>20658.3</v>
      </c>
      <c r="AF97" s="154">
        <f>+SUM(AF98:AF100)</f>
        <v>21892.326090999999</v>
      </c>
      <c r="AG97" s="154">
        <f>+SUM(AG98:AG100)</f>
        <v>23624.461929999998</v>
      </c>
      <c r="AH97" s="182">
        <f>SUM(AH98:AH100)</f>
        <v>87734.461930000005</v>
      </c>
      <c r="AI97" s="182">
        <f>SUM(AI98:AI100)</f>
        <v>35827.794925999988</v>
      </c>
    </row>
    <row r="98" spans="1:35" s="151" customFormat="1" x14ac:dyDescent="0.35">
      <c r="A98" s="144"/>
      <c r="B98" s="145" t="s">
        <v>313</v>
      </c>
      <c r="C98" s="146"/>
      <c r="Y98" s="149"/>
      <c r="Z98" s="149"/>
      <c r="AA98" s="149"/>
      <c r="AB98" s="149"/>
      <c r="AC98" s="149"/>
      <c r="AD98" s="149">
        <v>14278.01</v>
      </c>
      <c r="AE98" s="149">
        <v>20658.3</v>
      </c>
      <c r="AF98" s="149">
        <v>21892.326090999999</v>
      </c>
      <c r="AG98" s="183">
        <f>[1]CAPEX!$D$7</f>
        <v>21358.093669999998</v>
      </c>
      <c r="AH98" s="149">
        <f>[1]CAPEX!$H$7</f>
        <v>85222.093670000002</v>
      </c>
      <c r="AI98" s="149">
        <v>32943.024805999987</v>
      </c>
    </row>
    <row r="99" spans="1:35" x14ac:dyDescent="0.35">
      <c r="B99" s="143" t="s">
        <v>314</v>
      </c>
      <c r="Z99" s="150"/>
      <c r="AA99" s="150"/>
      <c r="AB99" s="150"/>
      <c r="AC99" s="150"/>
      <c r="AD99" s="150">
        <v>0</v>
      </c>
      <c r="AE99" s="150">
        <v>0</v>
      </c>
      <c r="AF99" s="150">
        <v>0</v>
      </c>
      <c r="AG99" s="184">
        <f>[1]CAPEX!$D$8</f>
        <v>0</v>
      </c>
      <c r="AH99" s="152">
        <f>[1]CAPEX!$H$8</f>
        <v>156</v>
      </c>
      <c r="AI99" s="152">
        <v>0</v>
      </c>
    </row>
    <row r="100" spans="1:35" s="151" customFormat="1" x14ac:dyDescent="0.35">
      <c r="A100" s="144"/>
      <c r="B100" s="145" t="s">
        <v>315</v>
      </c>
      <c r="C100" s="146"/>
      <c r="Y100" s="149"/>
      <c r="Z100" s="149"/>
      <c r="AA100" s="149"/>
      <c r="AB100" s="149"/>
      <c r="AC100" s="149"/>
      <c r="AD100" s="149">
        <v>0</v>
      </c>
      <c r="AE100" s="149">
        <v>0</v>
      </c>
      <c r="AF100" s="149">
        <v>0</v>
      </c>
      <c r="AG100" s="185">
        <f>[1]CAPEX!$D$9</f>
        <v>2266.3682600000002</v>
      </c>
      <c r="AH100" s="149">
        <f>[1]CAPEX!$H$9</f>
        <v>2356.3682600000002</v>
      </c>
      <c r="AI100" s="149">
        <v>2884.7701200000001</v>
      </c>
    </row>
    <row r="101" spans="1:35" x14ac:dyDescent="0.35">
      <c r="AG101" s="184"/>
    </row>
    <row r="102" spans="1:35" s="153" customFormat="1" x14ac:dyDescent="0.35">
      <c r="A102" s="147"/>
      <c r="B102" s="148" t="s">
        <v>311</v>
      </c>
      <c r="C102" s="148"/>
      <c r="Y102" s="154"/>
      <c r="Z102" s="154"/>
      <c r="AA102" s="154"/>
      <c r="AB102" s="154"/>
      <c r="AC102" s="154"/>
      <c r="AD102" s="154">
        <f>+SUM(AD103:AD105)</f>
        <v>97846.99</v>
      </c>
      <c r="AE102" s="154">
        <f>+SUM(AE103:AE105)</f>
        <v>191311.71</v>
      </c>
      <c r="AF102" s="154">
        <f>+SUM(AF103:AF105)</f>
        <v>113895.64110900002</v>
      </c>
      <c r="AG102" s="182">
        <f>+SUM(AG103:AG105)</f>
        <v>131639.53806999998</v>
      </c>
      <c r="AH102" s="154">
        <f>SUM(AH103:AH105)</f>
        <v>248135.53806999995</v>
      </c>
      <c r="AI102" s="182">
        <f>SUM(AI103:AI105)</f>
        <v>146517.99018399999</v>
      </c>
    </row>
    <row r="103" spans="1:35" s="151" customFormat="1" x14ac:dyDescent="0.35">
      <c r="A103" s="144"/>
      <c r="B103" s="145" t="s">
        <v>313</v>
      </c>
      <c r="C103" s="146"/>
      <c r="Y103" s="149"/>
      <c r="Z103" s="149"/>
      <c r="AA103" s="149"/>
      <c r="AB103" s="149"/>
      <c r="AC103" s="149"/>
      <c r="AD103" s="149">
        <v>17096.080000000002</v>
      </c>
      <c r="AE103" s="149">
        <v>28216.77</v>
      </c>
      <c r="AF103" s="149">
        <v>27632.351609000005</v>
      </c>
      <c r="AG103" s="185">
        <f>[1]CAPEX!$C$7</f>
        <v>12083.263340000021</v>
      </c>
      <c r="AH103" s="149">
        <f>[1]CAPEX!$G$7</f>
        <v>56589.26334000002</v>
      </c>
      <c r="AI103" s="149">
        <v>19987.923213999999</v>
      </c>
    </row>
    <row r="104" spans="1:35" x14ac:dyDescent="0.35">
      <c r="B104" s="143" t="s">
        <v>314</v>
      </c>
      <c r="Z104" s="150"/>
      <c r="AA104" s="150"/>
      <c r="AB104" s="150"/>
      <c r="AC104" s="150"/>
      <c r="AD104" s="150">
        <v>79383.31</v>
      </c>
      <c r="AE104" s="150">
        <v>162200.56</v>
      </c>
      <c r="AF104" s="150">
        <v>83392.707850000006</v>
      </c>
      <c r="AG104" s="186">
        <f>[1]CAPEX!$C$8</f>
        <v>114434.40534999996</v>
      </c>
      <c r="AH104" s="150">
        <f>[1]CAPEX!$G$8</f>
        <v>137333.40534999996</v>
      </c>
      <c r="AI104" s="150">
        <v>126530.06696999999</v>
      </c>
    </row>
    <row r="105" spans="1:35" s="151" customFormat="1" x14ac:dyDescent="0.35">
      <c r="A105" s="144"/>
      <c r="B105" s="145" t="s">
        <v>315</v>
      </c>
      <c r="C105" s="146"/>
      <c r="Y105" s="149"/>
      <c r="Z105" s="149"/>
      <c r="AA105" s="149"/>
      <c r="AB105" s="149"/>
      <c r="AC105" s="149"/>
      <c r="AD105" s="149">
        <v>1367.6</v>
      </c>
      <c r="AE105" s="149">
        <v>894.38</v>
      </c>
      <c r="AF105" s="149">
        <v>2870.581650000001</v>
      </c>
      <c r="AG105" s="185">
        <f>[1]CAPEX!$C$9</f>
        <v>5121.8693799999992</v>
      </c>
      <c r="AH105" s="149">
        <f>[1]CAPEX!$G$9</f>
        <v>54212.869379999996</v>
      </c>
      <c r="AI105" s="149">
        <v>0</v>
      </c>
    </row>
    <row r="106" spans="1:35" x14ac:dyDescent="0.35">
      <c r="AG106" s="184"/>
    </row>
    <row r="107" spans="1:35" s="153" customFormat="1" x14ac:dyDescent="0.35">
      <c r="A107" s="147"/>
      <c r="B107" s="148" t="s">
        <v>312</v>
      </c>
      <c r="C107" s="148"/>
      <c r="Y107" s="154"/>
      <c r="Z107" s="154"/>
      <c r="AA107" s="154"/>
      <c r="AB107" s="154"/>
      <c r="AC107" s="154"/>
      <c r="AD107" s="154">
        <f>+SUM(AD108:AD110)</f>
        <v>112125</v>
      </c>
      <c r="AE107" s="154">
        <f>+SUM(AE108:AE110)</f>
        <v>211970.01</v>
      </c>
      <c r="AF107" s="154">
        <f>+SUM(AF108:AF110)</f>
        <v>135787.96720000001</v>
      </c>
      <c r="AG107" s="182">
        <f>+SUM(AG108:AG110)</f>
        <v>155264</v>
      </c>
      <c r="AH107" s="154">
        <f>SUM(AH108:AH110)</f>
        <v>335870</v>
      </c>
      <c r="AI107" s="182">
        <f>SUM(AI108:AI110)</f>
        <v>182345.78510999997</v>
      </c>
    </row>
    <row r="108" spans="1:35" s="151" customFormat="1" x14ac:dyDescent="0.35">
      <c r="A108" s="144"/>
      <c r="B108" s="145" t="s">
        <v>313</v>
      </c>
      <c r="C108" s="146"/>
      <c r="Y108" s="149"/>
      <c r="Z108" s="149"/>
      <c r="AA108" s="149"/>
      <c r="AB108" s="149"/>
      <c r="AC108" s="149"/>
      <c r="AD108" s="149">
        <f>+AD98+AD103</f>
        <v>31374.090000000004</v>
      </c>
      <c r="AE108" s="149">
        <f>+AE98+AE103</f>
        <v>48875.07</v>
      </c>
      <c r="AF108" s="149">
        <f>AF98+AF103</f>
        <v>49524.6777</v>
      </c>
      <c r="AG108" s="185">
        <f>[2]Resumo!$D$2</f>
        <v>33441.357010000022</v>
      </c>
      <c r="AH108" s="149">
        <f>[1]CAPEX!$I$7</f>
        <v>141811.35701000004</v>
      </c>
      <c r="AI108" s="149">
        <f>AI103+AI98</f>
        <v>52930.948019999982</v>
      </c>
    </row>
    <row r="109" spans="1:35" x14ac:dyDescent="0.35">
      <c r="B109" s="143" t="s">
        <v>314</v>
      </c>
      <c r="Z109" s="150"/>
      <c r="AA109" s="150"/>
      <c r="AB109" s="150"/>
      <c r="AC109" s="150"/>
      <c r="AD109" s="150">
        <f t="shared" ref="AD109" si="81">+AD99+AD104</f>
        <v>79383.31</v>
      </c>
      <c r="AE109" s="150">
        <f>+AE99+AE104</f>
        <v>162200.56</v>
      </c>
      <c r="AF109" s="150">
        <f t="shared" ref="AF109:AF110" si="82">AF99+AF104</f>
        <v>83392.707850000006</v>
      </c>
      <c r="AG109" s="186">
        <f>[2]Resumo!$D$3</f>
        <v>114434.40534999996</v>
      </c>
      <c r="AH109" s="150">
        <f>[1]CAPEX!$I$8</f>
        <v>137489.40534999996</v>
      </c>
      <c r="AI109" s="150">
        <f>AI99+AI104</f>
        <v>126530.06696999999</v>
      </c>
    </row>
    <row r="110" spans="1:35" s="151" customFormat="1" x14ac:dyDescent="0.35">
      <c r="A110" s="144"/>
      <c r="B110" s="145" t="s">
        <v>315</v>
      </c>
      <c r="C110" s="146"/>
      <c r="Y110" s="149"/>
      <c r="Z110" s="149"/>
      <c r="AA110" s="149"/>
      <c r="AB110" s="149"/>
      <c r="AC110" s="149"/>
      <c r="AD110" s="149">
        <f t="shared" ref="AD110" si="83">+AD100+AD105</f>
        <v>1367.6</v>
      </c>
      <c r="AE110" s="149">
        <f>+AE100+AE105</f>
        <v>894.38</v>
      </c>
      <c r="AF110" s="149">
        <f t="shared" si="82"/>
        <v>2870.581650000001</v>
      </c>
      <c r="AG110" s="185">
        <f>[2]Resumo!$D$4</f>
        <v>7388.2376399999994</v>
      </c>
      <c r="AH110" s="149">
        <f>[1]CAPEX!$I$9</f>
        <v>56569.237639999999</v>
      </c>
      <c r="AI110" s="149">
        <f>AI105+AI100</f>
        <v>2884.7701200000001</v>
      </c>
    </row>
    <row r="111" spans="1:35" x14ac:dyDescent="0.35">
      <c r="AG111" s="184"/>
    </row>
    <row r="112" spans="1:35" ht="13" x14ac:dyDescent="0.3">
      <c r="B112" s="142" t="s">
        <v>299</v>
      </c>
      <c r="C112" s="142" t="s">
        <v>316</v>
      </c>
      <c r="AG112" s="199"/>
      <c r="AH112" s="200"/>
      <c r="AI112" s="200"/>
    </row>
    <row r="113" spans="1:35" s="147" customFormat="1" x14ac:dyDescent="0.35">
      <c r="B113" s="148" t="s">
        <v>306</v>
      </c>
      <c r="C113" s="148"/>
      <c r="Y113" s="154">
        <f t="shared" ref="Y113:AD113" si="84">+SUM(Y114:Y117)</f>
        <v>20921.763360000001</v>
      </c>
      <c r="Z113" s="154">
        <f t="shared" si="84"/>
        <v>19393.479770000002</v>
      </c>
      <c r="AA113" s="154">
        <f t="shared" si="84"/>
        <v>16330.21</v>
      </c>
      <c r="AB113" s="154">
        <f t="shared" si="84"/>
        <v>13068.15</v>
      </c>
      <c r="AC113" s="154">
        <f t="shared" si="84"/>
        <v>69713.603130000003</v>
      </c>
      <c r="AD113" s="154">
        <f t="shared" si="84"/>
        <v>14278.01</v>
      </c>
      <c r="AE113" s="154">
        <f>+SUM(AE114:AE117)</f>
        <v>20658.3</v>
      </c>
      <c r="AF113" s="154">
        <f>+SUM(AF114:AF117)</f>
        <v>28773.358891000011</v>
      </c>
      <c r="AG113" s="182">
        <f>+SUM(AG114:AG117)</f>
        <v>23624.461929999998</v>
      </c>
      <c r="AH113" s="154">
        <f>SUM(AD113:AG113)</f>
        <v>87334.130820999999</v>
      </c>
      <c r="AI113" s="154">
        <v>35827.794925999988</v>
      </c>
    </row>
    <row r="114" spans="1:35" s="151" customFormat="1" x14ac:dyDescent="0.35">
      <c r="A114" s="144"/>
      <c r="B114" s="145" t="s">
        <v>308</v>
      </c>
      <c r="C114" s="146"/>
      <c r="Y114" s="149">
        <v>20921.66833</v>
      </c>
      <c r="Z114" s="149">
        <v>19390</v>
      </c>
      <c r="AA114" s="149">
        <v>16330.21</v>
      </c>
      <c r="AB114" s="149">
        <v>13068.15</v>
      </c>
      <c r="AC114" s="149">
        <f t="shared" ref="AC114:AC117" si="85">+SUM(Y114:AB114)</f>
        <v>69710.028330000001</v>
      </c>
      <c r="AD114" s="149">
        <v>14278.01</v>
      </c>
      <c r="AE114" s="149">
        <v>20658.3</v>
      </c>
      <c r="AF114" s="149">
        <v>21892.32609100001</v>
      </c>
      <c r="AG114" s="187">
        <f>[2]Resumo!$C$14</f>
        <v>21358.093669999998</v>
      </c>
      <c r="AH114" s="149">
        <f>SUM(AD114:AG114)</f>
        <v>78186.72976100001</v>
      </c>
      <c r="AI114" s="149">
        <v>32943.024805999987</v>
      </c>
    </row>
    <row r="115" spans="1:35" x14ac:dyDescent="0.35">
      <c r="B115" s="143" t="s">
        <v>309</v>
      </c>
      <c r="Y115" s="150">
        <v>0</v>
      </c>
      <c r="Z115" s="150">
        <v>0</v>
      </c>
      <c r="AA115" s="150">
        <v>0</v>
      </c>
      <c r="AB115" s="150">
        <v>0</v>
      </c>
      <c r="AC115" s="150">
        <f t="shared" si="85"/>
        <v>0</v>
      </c>
      <c r="AD115" s="150">
        <v>0</v>
      </c>
      <c r="AE115" s="150">
        <v>0</v>
      </c>
      <c r="AF115" s="150">
        <v>0</v>
      </c>
      <c r="AG115" s="184">
        <v>0</v>
      </c>
      <c r="AH115" s="150">
        <f t="shared" ref="AH115:AH129" si="86">SUM(AD115:AG115)</f>
        <v>0</v>
      </c>
      <c r="AI115" s="203" t="s">
        <v>161</v>
      </c>
    </row>
    <row r="116" spans="1:35" s="151" customFormat="1" x14ac:dyDescent="0.35">
      <c r="A116" s="144"/>
      <c r="B116" s="145" t="s">
        <v>310</v>
      </c>
      <c r="C116" s="146"/>
      <c r="Y116" s="149">
        <v>0</v>
      </c>
      <c r="Z116" s="149">
        <v>0</v>
      </c>
      <c r="AA116" s="149">
        <v>0</v>
      </c>
      <c r="AB116" s="149">
        <v>0</v>
      </c>
      <c r="AC116" s="149">
        <f t="shared" si="85"/>
        <v>0</v>
      </c>
      <c r="AD116" s="149">
        <v>0</v>
      </c>
      <c r="AE116" s="149">
        <v>0</v>
      </c>
      <c r="AF116" s="149">
        <v>6881.032799999999</v>
      </c>
      <c r="AG116" s="187">
        <f>[2]Resumo!$C$16</f>
        <v>2266.3682600000002</v>
      </c>
      <c r="AH116" s="149">
        <f>SUM(AD116:AG116)</f>
        <v>9147.4010600000001</v>
      </c>
      <c r="AI116" s="149">
        <v>2884.7701200000001</v>
      </c>
    </row>
    <row r="117" spans="1:35" x14ac:dyDescent="0.35">
      <c r="B117" s="143" t="s">
        <v>307</v>
      </c>
      <c r="Y117" s="150">
        <v>9.5030000000000003E-2</v>
      </c>
      <c r="Z117" s="150">
        <v>3.4797699999999998</v>
      </c>
      <c r="AA117" s="150">
        <v>0</v>
      </c>
      <c r="AB117" s="150">
        <v>0</v>
      </c>
      <c r="AC117" s="150">
        <f t="shared" si="85"/>
        <v>3.5747999999999998</v>
      </c>
      <c r="AD117" s="150">
        <v>0</v>
      </c>
      <c r="AE117" s="150">
        <v>0</v>
      </c>
      <c r="AF117" s="150">
        <v>0</v>
      </c>
      <c r="AG117" s="184">
        <v>0</v>
      </c>
      <c r="AH117" s="154">
        <f t="shared" si="86"/>
        <v>0</v>
      </c>
      <c r="AI117" s="203" t="s">
        <v>161</v>
      </c>
    </row>
    <row r="118" spans="1:35" x14ac:dyDescent="0.35">
      <c r="AG118" s="184"/>
      <c r="AH118" s="154">
        <f t="shared" si="86"/>
        <v>0</v>
      </c>
      <c r="AI118" s="154"/>
    </row>
    <row r="119" spans="1:35" s="153" customFormat="1" x14ac:dyDescent="0.35">
      <c r="A119" s="147"/>
      <c r="B119" s="148" t="s">
        <v>311</v>
      </c>
      <c r="C119" s="148"/>
      <c r="Y119" s="154">
        <f t="shared" ref="Y119:AD119" si="87">+SUM(Y120:Y123)</f>
        <v>41091.948680000009</v>
      </c>
      <c r="Z119" s="154">
        <f t="shared" si="87"/>
        <v>114678.52022999998</v>
      </c>
      <c r="AA119" s="154">
        <f t="shared" si="87"/>
        <v>162537.78</v>
      </c>
      <c r="AB119" s="154">
        <f t="shared" si="87"/>
        <v>177834.85</v>
      </c>
      <c r="AC119" s="154">
        <f t="shared" si="87"/>
        <v>496143.09891</v>
      </c>
      <c r="AD119" s="154">
        <f t="shared" si="87"/>
        <v>97847</v>
      </c>
      <c r="AE119" s="154">
        <f>+SUM(AE120:AE123)</f>
        <v>191311.7</v>
      </c>
      <c r="AF119" s="154">
        <f>+SUM(AF120:AF123)</f>
        <v>113895.641109</v>
      </c>
      <c r="AG119" s="182">
        <f>+SUM(AG120:AG123)</f>
        <v>131639.53806999998</v>
      </c>
      <c r="AH119" s="154">
        <f t="shared" si="86"/>
        <v>534693.87917900004</v>
      </c>
      <c r="AI119" s="154">
        <f>SUM(AI120:AI123)</f>
        <v>146517.99016399999</v>
      </c>
    </row>
    <row r="120" spans="1:35" s="151" customFormat="1" x14ac:dyDescent="0.35">
      <c r="A120" s="144"/>
      <c r="B120" s="145" t="s">
        <v>308</v>
      </c>
      <c r="C120" s="146"/>
      <c r="Y120" s="149">
        <v>14020.22130000003</v>
      </c>
      <c r="Z120" s="149">
        <v>26903.714580002183</v>
      </c>
      <c r="AA120" s="149">
        <v>42483.67</v>
      </c>
      <c r="AB120" s="149">
        <v>42764.95</v>
      </c>
      <c r="AC120" s="149">
        <f>+SUM(Y120:AB120)</f>
        <v>126172.55588000221</v>
      </c>
      <c r="AD120" s="149">
        <v>14231.12</v>
      </c>
      <c r="AE120" s="149">
        <v>27340.86</v>
      </c>
      <c r="AF120" s="149">
        <v>26291.117909000004</v>
      </c>
      <c r="AG120" s="188">
        <v>5696.6305300000213</v>
      </c>
      <c r="AH120" s="149">
        <f>SUM(AD120:AG120)</f>
        <v>73559.728439000028</v>
      </c>
      <c r="AI120" s="149">
        <v>17362.959083999998</v>
      </c>
    </row>
    <row r="121" spans="1:35" x14ac:dyDescent="0.35">
      <c r="B121" s="143" t="s">
        <v>309</v>
      </c>
      <c r="Y121" s="150">
        <v>2791.5839099999898</v>
      </c>
      <c r="Z121" s="150">
        <v>47042.444640000002</v>
      </c>
      <c r="AA121" s="150">
        <v>70178.61</v>
      </c>
      <c r="AB121" s="150">
        <v>85830.02</v>
      </c>
      <c r="AC121" s="150">
        <f>+SUM(Y121:AB121)</f>
        <v>205842.65854999999</v>
      </c>
      <c r="AD121" s="150">
        <v>47320</v>
      </c>
      <c r="AE121" s="150">
        <v>29964.02</v>
      </c>
      <c r="AF121" s="150">
        <v>28208.540949999999</v>
      </c>
      <c r="AG121" s="189">
        <v>31386.702879999953</v>
      </c>
      <c r="AH121" s="150">
        <f t="shared" si="86"/>
        <v>136879.26382999995</v>
      </c>
      <c r="AI121" s="150">
        <v>52468.802269999986</v>
      </c>
    </row>
    <row r="122" spans="1:35" s="151" customFormat="1" x14ac:dyDescent="0.35">
      <c r="A122" s="144"/>
      <c r="B122" s="145" t="s">
        <v>310</v>
      </c>
      <c r="C122" s="146"/>
      <c r="Y122" s="149">
        <v>24280.143469999988</v>
      </c>
      <c r="Z122" s="149">
        <v>40732.361009997796</v>
      </c>
      <c r="AA122" s="149">
        <v>49875.5</v>
      </c>
      <c r="AB122" s="149">
        <v>49239.88</v>
      </c>
      <c r="AC122" s="149">
        <f>+SUM(Y122:AB122)</f>
        <v>164127.8844799978</v>
      </c>
      <c r="AD122" s="149">
        <v>36295.879999999997</v>
      </c>
      <c r="AE122" s="149">
        <v>134006.82</v>
      </c>
      <c r="AF122" s="149">
        <v>59395.982250000001</v>
      </c>
      <c r="AG122" s="187">
        <v>94556.204660000003</v>
      </c>
      <c r="AH122" s="149">
        <f>SUM(AD122:AG122)</f>
        <v>324254.88691</v>
      </c>
      <c r="AI122" s="149">
        <v>76686.228810000001</v>
      </c>
    </row>
    <row r="123" spans="1:35" x14ac:dyDescent="0.35">
      <c r="B123" s="143" t="s">
        <v>307</v>
      </c>
      <c r="Y123" s="150">
        <v>0</v>
      </c>
      <c r="Z123" s="150">
        <v>0</v>
      </c>
      <c r="AA123" s="150">
        <v>0</v>
      </c>
      <c r="AB123" s="150">
        <v>0</v>
      </c>
      <c r="AC123" s="150">
        <f>+SUM(Y123:AB123)</f>
        <v>0</v>
      </c>
      <c r="AD123" s="150">
        <v>0</v>
      </c>
      <c r="AE123" s="150">
        <v>0</v>
      </c>
      <c r="AF123" s="150">
        <v>0</v>
      </c>
      <c r="AG123" s="184">
        <v>0</v>
      </c>
      <c r="AH123" s="150">
        <f t="shared" si="86"/>
        <v>0</v>
      </c>
      <c r="AI123" s="150">
        <v>0</v>
      </c>
    </row>
    <row r="124" spans="1:35" x14ac:dyDescent="0.35">
      <c r="AG124" s="184"/>
      <c r="AH124" s="154"/>
      <c r="AI124" s="154"/>
    </row>
    <row r="125" spans="1:35" s="153" customFormat="1" x14ac:dyDescent="0.35">
      <c r="A125" s="147"/>
      <c r="B125" s="148" t="s">
        <v>312</v>
      </c>
      <c r="C125" s="148"/>
      <c r="Y125" s="154">
        <f>+SUM(Y126:Y129)</f>
        <v>62013.712040000006</v>
      </c>
      <c r="Z125" s="154">
        <f t="shared" ref="Z125:AD125" si="88">+SUM(Z126:Z129)</f>
        <v>134071.99999999997</v>
      </c>
      <c r="AA125" s="154">
        <f>+SUM(AA126:AA129)</f>
        <v>178867.99</v>
      </c>
      <c r="AB125" s="154">
        <f t="shared" si="88"/>
        <v>190903</v>
      </c>
      <c r="AC125" s="154">
        <f t="shared" si="88"/>
        <v>565856.70204</v>
      </c>
      <c r="AD125" s="154">
        <f t="shared" si="88"/>
        <v>112125.01000000001</v>
      </c>
      <c r="AE125" s="154">
        <f>+SUM(AE126:AE129)</f>
        <v>211970</v>
      </c>
      <c r="AF125" s="154">
        <f>+SUM(AF126:AF129)</f>
        <v>142669</v>
      </c>
      <c r="AG125" s="182">
        <f>+SUM(AG126:AG129)</f>
        <v>155263.99999999997</v>
      </c>
      <c r="AH125" s="154">
        <f t="shared" si="86"/>
        <v>622028.01</v>
      </c>
      <c r="AI125" s="154">
        <f>SUM(AI119,AI113)</f>
        <v>182345.78508999996</v>
      </c>
    </row>
    <row r="126" spans="1:35" s="151" customFormat="1" x14ac:dyDescent="0.35">
      <c r="A126" s="144"/>
      <c r="B126" s="145" t="s">
        <v>308</v>
      </c>
      <c r="C126" s="146"/>
      <c r="Y126" s="149">
        <f>+Y114+Y120</f>
        <v>34941.889630000034</v>
      </c>
      <c r="Z126" s="149">
        <f t="shared" ref="Z126:AD126" si="89">+Z114+Z120</f>
        <v>46293.714580002183</v>
      </c>
      <c r="AA126" s="149">
        <f t="shared" si="89"/>
        <v>58813.88</v>
      </c>
      <c r="AB126" s="149">
        <f t="shared" si="89"/>
        <v>55833.1</v>
      </c>
      <c r="AC126" s="149">
        <f t="shared" si="89"/>
        <v>195882.58421000221</v>
      </c>
      <c r="AD126" s="149">
        <f t="shared" si="89"/>
        <v>28509.13</v>
      </c>
      <c r="AE126" s="149">
        <f>+AE114+AE120</f>
        <v>47999.16</v>
      </c>
      <c r="AF126" s="149">
        <f>SUM(AF114,AF120)</f>
        <v>48183.444000000018</v>
      </c>
      <c r="AG126" s="198">
        <v>27054.724200000019</v>
      </c>
      <c r="AH126" s="149">
        <f t="shared" si="86"/>
        <v>151746.45820000005</v>
      </c>
      <c r="AI126" s="149">
        <f>AI114+AI120</f>
        <v>50305.983889999989</v>
      </c>
    </row>
    <row r="127" spans="1:35" x14ac:dyDescent="0.35">
      <c r="B127" s="143" t="s">
        <v>309</v>
      </c>
      <c r="Y127" s="150">
        <f t="shared" ref="Y127:AD129" si="90">+Y115+Y121</f>
        <v>2791.5839099999898</v>
      </c>
      <c r="Z127" s="150">
        <f t="shared" si="90"/>
        <v>47042.444640000002</v>
      </c>
      <c r="AA127" s="150">
        <f t="shared" si="90"/>
        <v>70178.61</v>
      </c>
      <c r="AB127" s="150">
        <f t="shared" si="90"/>
        <v>85830.02</v>
      </c>
      <c r="AC127" s="150">
        <f t="shared" si="90"/>
        <v>205842.65854999999</v>
      </c>
      <c r="AD127" s="150">
        <f t="shared" si="90"/>
        <v>47320</v>
      </c>
      <c r="AE127" s="150">
        <f>+AE115+AE121</f>
        <v>29964.02</v>
      </c>
      <c r="AF127" s="150">
        <f>AF115+AF121</f>
        <v>28208.540949999999</v>
      </c>
      <c r="AG127" s="189">
        <v>31386.702879999953</v>
      </c>
      <c r="AH127" s="150">
        <f t="shared" si="86"/>
        <v>136879.26382999995</v>
      </c>
      <c r="AI127" s="150">
        <f>AI121</f>
        <v>52468.802269999986</v>
      </c>
    </row>
    <row r="128" spans="1:35" s="151" customFormat="1" x14ac:dyDescent="0.35">
      <c r="A128" s="144"/>
      <c r="B128" s="145" t="s">
        <v>310</v>
      </c>
      <c r="C128" s="146"/>
      <c r="Y128" s="149">
        <f t="shared" si="90"/>
        <v>24280.143469999988</v>
      </c>
      <c r="Z128" s="149">
        <f t="shared" si="90"/>
        <v>40732.361009997796</v>
      </c>
      <c r="AA128" s="149">
        <f>+AA116+AA122</f>
        <v>49875.5</v>
      </c>
      <c r="AB128" s="149">
        <f t="shared" si="90"/>
        <v>49239.88</v>
      </c>
      <c r="AC128" s="149">
        <f t="shared" si="90"/>
        <v>164127.8844799978</v>
      </c>
      <c r="AD128" s="149">
        <f t="shared" si="90"/>
        <v>36295.879999999997</v>
      </c>
      <c r="AE128" s="149">
        <f>+AE116+AE122</f>
        <v>134006.82</v>
      </c>
      <c r="AF128" s="149">
        <f>AF116+AF122</f>
        <v>66277.015050000002</v>
      </c>
      <c r="AG128" s="187">
        <v>96822.572920000006</v>
      </c>
      <c r="AH128" s="149">
        <f t="shared" si="86"/>
        <v>333402.28797</v>
      </c>
      <c r="AI128" s="149">
        <f>AI122+AI116</f>
        <v>79570.998930000002</v>
      </c>
    </row>
    <row r="129" spans="2:35" x14ac:dyDescent="0.35">
      <c r="B129" s="143" t="s">
        <v>307</v>
      </c>
      <c r="Y129" s="150">
        <f t="shared" si="90"/>
        <v>9.5030000000000003E-2</v>
      </c>
      <c r="Z129" s="150">
        <f t="shared" si="90"/>
        <v>3.4797699999999998</v>
      </c>
      <c r="AA129" s="150">
        <f>+AA117+AA123</f>
        <v>0</v>
      </c>
      <c r="AB129" s="150">
        <f t="shared" si="90"/>
        <v>0</v>
      </c>
      <c r="AC129" s="150">
        <f t="shared" si="90"/>
        <v>3.5747999999999998</v>
      </c>
      <c r="AD129" s="150">
        <f t="shared" si="90"/>
        <v>0</v>
      </c>
      <c r="AE129" s="150">
        <f>+AE117+AE123</f>
        <v>0</v>
      </c>
      <c r="AF129" s="150">
        <f>AF117+AF123</f>
        <v>0</v>
      </c>
      <c r="AG129" s="152">
        <v>0</v>
      </c>
      <c r="AH129" s="150">
        <f t="shared" si="86"/>
        <v>0</v>
      </c>
      <c r="AI129" s="150">
        <f>AI123</f>
        <v>0</v>
      </c>
    </row>
    <row r="131" spans="2:35" x14ac:dyDescent="0.35">
      <c r="AD131" s="150"/>
    </row>
    <row r="133" spans="2:35" x14ac:dyDescent="0.35">
      <c r="AD133" s="150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A1:XFD5 A118:AG118 A113:AD113 AJ113:XFD113 A124:AG124 A119:AD119 AJ119:XFD119 A135:XFD1048576 A125:AD125 AJ125:XFD125 A126:AD126 AJ126:XFD126 A127:AD127 AJ127:XFD127 A128:AD128 AJ128:XFD128 A129:AD129 AJ129:XFD129 A130:AD130 AF130:XFD130 A59:Z59 A57 C57:AD57 A120:AD123 AJ123:XFD123 A114:AD114 AJ114:XFD114 A115:AD115 AJ115:XFD115 A116:AD116 AJ116:XFD116 A117:AD117 AJ117:XFD117 A106:XFD106 A98:AD98 A99:AD99 AJ99:XFD99 A100:AD100 AJ100:XFD100 A101:AD101 AF101:XFD101 A102:AD102 AJ102:XFD102 A103:AD103 AJ103:XFD103 A104:AD104 AJ104:XFD104 A105:AD105 AJ105:XFD105 A56:AE56 A35:AD35 AJ35:XFD35 A36:AD36 AJ36:XFD36 A37:AD37 AJ37:XFD37 A38:AD38 AJ38:XFD38 A39:AD39 AJ39:XFD39 A40:AD40 AJ40:XFD40 A41:AD41 AJ41:XFD41 A42:AD42 AJ42:XFD42 A43:AD43 AJ43:XFD43 A44:AC44 A50:AD50 AF50:XFD50 A74:AE74 A73:AC73 AJ73:XFD73 A97:AD97 A75:AD75 AJ75:XFD75 A76:AD76 AF76:XFD76 A77:AD77 AF77:XFD77 A78:AD78 AJ78:XFD78 A79:AD79 AJ79:XFD79 A80:AB80 AJ80:XFD80 A81:AD81 AJ81:XFD81 A82:AD82 AJ82:XFD82 A83:AD83 AJ83:XFD83 A84:AD84 AJ84:XFD84 A85:AD85 AF85:XFD85 A86:AD86 AJ86:XFD86 A87:AD87 AJ87:XFD87 A88:AD88 AJ88:XFD88 A89:AD89 AJ89:XFD89 A90:AD90 AJ90:XFD90 A91:AD91 AJ91:XFD91 A92:AD92 AJ92:XFD92 A93:AD93 AF93:XFD93 A94:AD94 AJ94:XFD94 A95:AD95 AJ95:XFD95 A96:AD96 AG96:XFD96 AJ97:XFD97 A17:W17 A13:AD13 AJ13:XFD13 A14:AD14 AJ14:XFD14 A15:AD15 AJ15:XFD15 A16:AD16 AJ16:XFD16 A12:AD12 AJ12:XFD12 A8:XFD8 A6:AE7 AJ6:XFD7 A10:AE11 AJ11:XFD11 A31:C31 A25:AE26 AJ25:XFD26 A51:AE52 AJ51:XFD52 A65:X65 A63:AE64 AJ63:XFD64 A72:X72 A70:AE71 AJ70:XFD71 AJ74:XFD74 A111:XFD112 A107:AE107 AJ107:XFD107 A27:X27 AJ27:XFD27 A34:AE34 A32:AE32 AJ32:XFD32 A69:XFD69 A66:AB66 AJ66:XFD66 A67:AB67 AJ67:XFD67 A68:AB68 AJ68:XFD68 A53:AE53 AJ53:XFD53 A54:AE54 AJ54:XFD54 A55:AE55 AJ55:XFD55 AJ57:XFD57 A58:AE58 AJ58:XFD58 A61:XFD62 A60:AE60 AJ60:XFD60 A23:XFD24 A18:AD18 AJ18:XFD18 A28:AE30 AJ30:XFD30 A33:AD33 AJ33:XFD33 A19:AD19 AJ19:XFD19 A20:AD20 AJ20:XFD20 AJ34:XFD34 A21:AD21 AJ21:XFD21 A22:AD22 AJ22:XFD22 AJ31:XFD31 AJ56:XFD56 A108:AE108 AJ108:XFD108 A109:AE110 AJ110:XFD110 AJ120:XFD120 AJ121:XFD121 AJ122:XFD122 AJ17:XFD17 AJ44:XFD44 AJ65:XFD65 AD66:AE66 AD67:AE67 AD68:AE68 A9:AO9 AQ9:XFD9 A131:AC131 AE131:XFD131 A132:AC132 AE132:XFD132 A133:AC133 AE133:XFD133 A134:AC134 AE134:XFD134 E31:T31 AJ10:XFD10 AJ59:XFD59 AJ72:XFD72 AJ28:XFD28 AJ29:XFD29 Y17:AB17 AJ98:XFD98 AI109:XFD109 AI118:XFD118 AI124:XFD12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4135C-334E-4891-84DD-C85B2F09BE1B}">
  <dimension ref="A1:AD104"/>
  <sheetViews>
    <sheetView showGridLines="0" zoomScale="96" zoomScaleNormal="96" workbookViewId="0">
      <pane xSplit="3" ySplit="7" topLeftCell="AA93" activePane="bottomRight" state="frozen"/>
      <selection pane="topRight" activeCell="D1" sqref="D1"/>
      <selection pane="bottomLeft" activeCell="A8" sqref="A8"/>
      <selection pane="bottomRight" activeCell="AC5" sqref="AC5:AC6"/>
    </sheetView>
  </sheetViews>
  <sheetFormatPr defaultColWidth="13" defaultRowHeight="13" x14ac:dyDescent="0.3"/>
  <cols>
    <col min="1" max="1" width="2" style="32" bestFit="1" customWidth="1"/>
    <col min="2" max="2" width="46.1796875" style="33" bestFit="1" customWidth="1"/>
    <col min="3" max="3" width="68" style="24" bestFit="1" customWidth="1"/>
    <col min="4" max="4" width="13" style="32" customWidth="1"/>
    <col min="5" max="7" width="13" style="32" hidden="1" customWidth="1"/>
    <col min="8" max="8" width="13" style="32" customWidth="1"/>
    <col min="9" max="9" width="13" style="32" hidden="1" customWidth="1"/>
    <col min="10" max="10" width="13" style="32" hidden="1" customWidth="1" collapsed="1"/>
    <col min="11" max="11" width="13" style="32" hidden="1" customWidth="1"/>
    <col min="12" max="12" width="13" style="32"/>
    <col min="13" max="15" width="13" style="32" hidden="1" customWidth="1"/>
    <col min="16" max="16" width="13" style="32"/>
    <col min="17" max="19" width="13" style="32" hidden="1" customWidth="1"/>
    <col min="20" max="20" width="13" style="32"/>
    <col min="21" max="21" width="13" style="32" hidden="1" customWidth="1"/>
    <col min="22" max="23" width="0" style="32" hidden="1" customWidth="1"/>
    <col min="24" max="16384" width="13" style="32"/>
  </cols>
  <sheetData>
    <row r="1" spans="1:30" s="2" customFormat="1" ht="14" x14ac:dyDescent="0.35">
      <c r="B1" s="3"/>
      <c r="G1" s="4"/>
      <c r="H1" s="4"/>
      <c r="J1" s="4"/>
    </row>
    <row r="2" spans="1:30" s="2" customFormat="1" ht="14" x14ac:dyDescent="0.35">
      <c r="B2" s="3"/>
      <c r="G2" s="4"/>
      <c r="H2" s="4"/>
      <c r="J2" s="4"/>
    </row>
    <row r="3" spans="1:30" s="2" customFormat="1" ht="14" x14ac:dyDescent="0.35">
      <c r="B3" s="3"/>
      <c r="G3" s="4"/>
      <c r="H3" s="4"/>
      <c r="J3" s="4"/>
    </row>
    <row r="4" spans="1:30" s="2" customFormat="1" ht="14" x14ac:dyDescent="0.35">
      <c r="B4" s="3"/>
      <c r="G4" s="4"/>
      <c r="H4" s="4"/>
      <c r="J4" s="4"/>
    </row>
    <row r="5" spans="1:30" s="6" customFormat="1" x14ac:dyDescent="0.3">
      <c r="B5" s="5" t="s">
        <v>68</v>
      </c>
      <c r="C5" s="5" t="s">
        <v>67</v>
      </c>
      <c r="D5" s="6" t="s">
        <v>69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14</v>
      </c>
      <c r="Q5" s="6" t="s">
        <v>15</v>
      </c>
      <c r="R5" s="6" t="s">
        <v>16</v>
      </c>
      <c r="S5" s="6" t="s">
        <v>186</v>
      </c>
      <c r="T5" s="6" t="s">
        <v>210</v>
      </c>
      <c r="U5" s="6" t="s">
        <v>218</v>
      </c>
      <c r="V5" s="6" t="s">
        <v>233</v>
      </c>
      <c r="W5" s="7" t="s">
        <v>246</v>
      </c>
      <c r="X5" s="7" t="s">
        <v>250</v>
      </c>
      <c r="Y5" s="6" t="s">
        <v>259</v>
      </c>
      <c r="Z5" s="6" t="s">
        <v>291</v>
      </c>
      <c r="AA5" s="6" t="s">
        <v>323</v>
      </c>
      <c r="AB5" s="6" t="s">
        <v>336</v>
      </c>
      <c r="AC5" s="6" t="s">
        <v>354</v>
      </c>
    </row>
    <row r="6" spans="1:30" s="6" customFormat="1" x14ac:dyDescent="0.3">
      <c r="B6" s="5" t="s">
        <v>17</v>
      </c>
      <c r="C6" s="5" t="s">
        <v>18</v>
      </c>
      <c r="D6" s="6" t="s">
        <v>70</v>
      </c>
      <c r="E6" s="6" t="s">
        <v>19</v>
      </c>
      <c r="F6" s="6" t="s">
        <v>20</v>
      </c>
      <c r="G6" s="6" t="s">
        <v>21</v>
      </c>
      <c r="H6" s="6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6" t="s">
        <v>27</v>
      </c>
      <c r="N6" s="6" t="s">
        <v>28</v>
      </c>
      <c r="O6" s="6" t="s">
        <v>29</v>
      </c>
      <c r="P6" s="6" t="s">
        <v>30</v>
      </c>
      <c r="Q6" s="6" t="s">
        <v>31</v>
      </c>
      <c r="R6" s="6" t="s">
        <v>32</v>
      </c>
      <c r="S6" s="6" t="s">
        <v>193</v>
      </c>
      <c r="T6" s="6" t="s">
        <v>211</v>
      </c>
      <c r="U6" s="6" t="s">
        <v>219</v>
      </c>
      <c r="V6" s="6" t="s">
        <v>234</v>
      </c>
      <c r="W6" s="7" t="s">
        <v>247</v>
      </c>
      <c r="X6" s="7" t="s">
        <v>251</v>
      </c>
      <c r="Y6" s="6" t="s">
        <v>260</v>
      </c>
      <c r="Z6" s="6" t="s">
        <v>292</v>
      </c>
      <c r="AA6" s="6" t="s">
        <v>324</v>
      </c>
      <c r="AB6" s="6" t="s">
        <v>337</v>
      </c>
      <c r="AC6" s="190" t="s">
        <v>355</v>
      </c>
      <c r="AD6" s="190"/>
    </row>
    <row r="7" spans="1:30" s="9" customFormat="1" x14ac:dyDescent="0.3">
      <c r="A7" s="9" t="s">
        <v>0</v>
      </c>
      <c r="B7" s="8" t="s">
        <v>72</v>
      </c>
      <c r="C7" s="8" t="s">
        <v>71</v>
      </c>
      <c r="D7" s="64">
        <f t="shared" ref="D7:T7" si="0">SUM(D8:D15)</f>
        <v>123033</v>
      </c>
      <c r="E7" s="64">
        <f t="shared" si="0"/>
        <v>134777</v>
      </c>
      <c r="F7" s="64">
        <f t="shared" si="0"/>
        <v>138930</v>
      </c>
      <c r="G7" s="64">
        <f t="shared" si="0"/>
        <v>155668</v>
      </c>
      <c r="H7" s="64">
        <f t="shared" si="0"/>
        <v>155517</v>
      </c>
      <c r="I7" s="64">
        <f t="shared" si="0"/>
        <v>507788</v>
      </c>
      <c r="J7" s="64">
        <f t="shared" si="0"/>
        <v>441568</v>
      </c>
      <c r="K7" s="64">
        <f t="shared" si="0"/>
        <v>370821</v>
      </c>
      <c r="L7" s="64">
        <f t="shared" si="0"/>
        <v>603149</v>
      </c>
      <c r="M7" s="64">
        <f t="shared" si="0"/>
        <v>482519</v>
      </c>
      <c r="N7" s="64">
        <f t="shared" si="0"/>
        <v>362221</v>
      </c>
      <c r="O7" s="64">
        <f t="shared" si="0"/>
        <v>375080</v>
      </c>
      <c r="P7" s="64">
        <f t="shared" si="0"/>
        <v>580211</v>
      </c>
      <c r="Q7" s="64">
        <f t="shared" si="0"/>
        <v>525180</v>
      </c>
      <c r="R7" s="64">
        <f t="shared" si="0"/>
        <v>519927</v>
      </c>
      <c r="S7" s="64">
        <f t="shared" si="0"/>
        <v>606045</v>
      </c>
      <c r="T7" s="64">
        <f t="shared" si="0"/>
        <v>592636</v>
      </c>
      <c r="U7" s="64">
        <f>SUM(U8:U15)</f>
        <v>585656</v>
      </c>
      <c r="V7" s="64">
        <f>SUM(V8:V15)</f>
        <v>627368</v>
      </c>
      <c r="W7" s="64">
        <f>SUM(W8:W15)</f>
        <v>1115743</v>
      </c>
      <c r="X7" s="64">
        <f>SUM(X8:X15)</f>
        <v>911748</v>
      </c>
      <c r="Y7" s="64">
        <f>SUM(Y8:Y15)</f>
        <v>882969</v>
      </c>
      <c r="Z7" s="64">
        <f>+SUM(Z8:Z15)</f>
        <v>1366939</v>
      </c>
      <c r="AA7" s="64">
        <f>+SUM(AA8:AA15)</f>
        <v>1453296</v>
      </c>
      <c r="AB7" s="64">
        <f>SUM(AB8:AB15)</f>
        <v>1345247</v>
      </c>
      <c r="AC7" s="9">
        <v>1346335</v>
      </c>
    </row>
    <row r="8" spans="1:30" s="12" customFormat="1" x14ac:dyDescent="0.3">
      <c r="B8" s="11" t="s">
        <v>74</v>
      </c>
      <c r="C8" s="11" t="s">
        <v>73</v>
      </c>
      <c r="D8" s="62">
        <v>2317</v>
      </c>
      <c r="E8" s="62">
        <v>6088</v>
      </c>
      <c r="F8" s="62">
        <v>4108</v>
      </c>
      <c r="G8" s="62">
        <v>4236</v>
      </c>
      <c r="H8" s="62">
        <v>6044</v>
      </c>
      <c r="I8" s="62">
        <v>2112</v>
      </c>
      <c r="J8" s="62">
        <v>1124</v>
      </c>
      <c r="K8" s="62">
        <v>5345</v>
      </c>
      <c r="L8" s="62">
        <v>2917</v>
      </c>
      <c r="M8" s="62">
        <v>9612</v>
      </c>
      <c r="N8" s="62">
        <v>24265</v>
      </c>
      <c r="O8" s="62">
        <v>27289</v>
      </c>
      <c r="P8" s="62">
        <v>168875</v>
      </c>
      <c r="Q8" s="62">
        <v>117986</v>
      </c>
      <c r="R8" s="62">
        <v>134757</v>
      </c>
      <c r="S8" s="62">
        <v>200797</v>
      </c>
      <c r="T8" s="62">
        <v>289426</v>
      </c>
      <c r="U8" s="62">
        <v>264313</v>
      </c>
      <c r="V8" s="62">
        <v>304604</v>
      </c>
      <c r="W8" s="62">
        <v>668551</v>
      </c>
      <c r="X8" s="62">
        <v>493299</v>
      </c>
      <c r="Y8" s="62">
        <v>409969</v>
      </c>
      <c r="Z8" s="62">
        <v>932773</v>
      </c>
      <c r="AA8" s="62">
        <v>1035713</v>
      </c>
      <c r="AB8" s="62">
        <v>851334</v>
      </c>
      <c r="AC8" s="171">
        <v>855590</v>
      </c>
    </row>
    <row r="9" spans="1:30" s="14" customFormat="1" x14ac:dyDescent="0.3">
      <c r="B9" s="15" t="s">
        <v>76</v>
      </c>
      <c r="C9" s="15" t="s">
        <v>75</v>
      </c>
      <c r="D9" s="61">
        <v>11526</v>
      </c>
      <c r="E9" s="61">
        <v>11995</v>
      </c>
      <c r="F9" s="61">
        <v>10440</v>
      </c>
      <c r="G9" s="61">
        <v>12691</v>
      </c>
      <c r="H9" s="61">
        <v>10511</v>
      </c>
      <c r="I9" s="61">
        <v>349438</v>
      </c>
      <c r="J9" s="61">
        <v>264492</v>
      </c>
      <c r="K9" s="61">
        <v>205395</v>
      </c>
      <c r="L9" s="61">
        <v>398458</v>
      </c>
      <c r="M9" s="61">
        <v>265273</v>
      </c>
      <c r="N9" s="61">
        <v>37581</v>
      </c>
      <c r="O9" s="61">
        <v>19618</v>
      </c>
      <c r="P9" s="61">
        <v>71922</v>
      </c>
      <c r="Q9" s="61">
        <v>74941</v>
      </c>
      <c r="R9" s="61">
        <v>82976</v>
      </c>
      <c r="S9" s="61">
        <v>62562</v>
      </c>
      <c r="T9" s="61">
        <v>33608</v>
      </c>
      <c r="U9" s="61">
        <v>8619</v>
      </c>
      <c r="V9" s="61">
        <v>4983</v>
      </c>
      <c r="W9" s="61">
        <v>125628</v>
      </c>
      <c r="X9" s="61">
        <v>108524</v>
      </c>
      <c r="Y9" s="61">
        <v>139668</v>
      </c>
      <c r="Z9" s="61">
        <v>80137</v>
      </c>
      <c r="AA9" s="61">
        <v>23143</v>
      </c>
      <c r="AB9" s="61">
        <v>71035</v>
      </c>
      <c r="AC9" s="177">
        <v>14524</v>
      </c>
    </row>
    <row r="10" spans="1:30" s="12" customFormat="1" x14ac:dyDescent="0.3">
      <c r="B10" s="11" t="s">
        <v>78</v>
      </c>
      <c r="C10" s="11" t="s">
        <v>77</v>
      </c>
      <c r="D10" s="62">
        <v>1609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  <c r="M10" s="62">
        <v>0</v>
      </c>
      <c r="N10" s="62">
        <v>0</v>
      </c>
      <c r="O10" s="62">
        <v>0</v>
      </c>
      <c r="P10" s="62">
        <v>0</v>
      </c>
      <c r="Q10" s="62">
        <v>0</v>
      </c>
      <c r="R10" s="62">
        <v>0</v>
      </c>
      <c r="S10" s="62">
        <v>0</v>
      </c>
      <c r="T10" s="62">
        <v>0</v>
      </c>
      <c r="U10" s="62">
        <v>0</v>
      </c>
      <c r="V10" s="62">
        <v>0</v>
      </c>
      <c r="W10" s="62">
        <v>0</v>
      </c>
      <c r="X10" s="62">
        <v>0</v>
      </c>
      <c r="Y10" s="62">
        <v>0</v>
      </c>
      <c r="Z10" s="62">
        <v>0</v>
      </c>
      <c r="AA10" s="62">
        <v>0</v>
      </c>
      <c r="AB10" s="62">
        <v>0</v>
      </c>
      <c r="AC10" s="171"/>
    </row>
    <row r="11" spans="1:30" s="14" customFormat="1" x14ac:dyDescent="0.3">
      <c r="B11" s="15" t="s">
        <v>202</v>
      </c>
      <c r="C11" s="15" t="s">
        <v>79</v>
      </c>
      <c r="D11" s="61">
        <v>8485</v>
      </c>
      <c r="E11" s="61">
        <v>9737</v>
      </c>
      <c r="F11" s="61">
        <v>9533</v>
      </c>
      <c r="G11" s="61">
        <v>11758</v>
      </c>
      <c r="H11" s="61">
        <v>9758</v>
      </c>
      <c r="I11" s="61">
        <v>11090</v>
      </c>
      <c r="J11" s="61">
        <v>13927</v>
      </c>
      <c r="K11" s="61">
        <v>17947</v>
      </c>
      <c r="L11" s="61">
        <v>7136</v>
      </c>
      <c r="M11" s="61">
        <v>11111</v>
      </c>
      <c r="N11" s="61">
        <v>11562</v>
      </c>
      <c r="O11" s="61">
        <v>11519</v>
      </c>
      <c r="P11" s="61">
        <v>13907</v>
      </c>
      <c r="Q11" s="61">
        <v>22276</v>
      </c>
      <c r="R11" s="61">
        <v>26090</v>
      </c>
      <c r="S11" s="61">
        <v>33197</v>
      </c>
      <c r="T11" s="61">
        <v>30042</v>
      </c>
      <c r="U11" s="61">
        <v>44227</v>
      </c>
      <c r="V11" s="61">
        <v>37837</v>
      </c>
      <c r="W11" s="61">
        <v>40005</v>
      </c>
      <c r="X11" s="61">
        <v>50927</v>
      </c>
      <c r="Y11" s="61">
        <v>51368</v>
      </c>
      <c r="Z11" s="61">
        <v>58273</v>
      </c>
      <c r="AA11" s="61">
        <v>64471</v>
      </c>
      <c r="AB11" s="61">
        <v>67166</v>
      </c>
      <c r="AC11" s="177">
        <v>82627</v>
      </c>
    </row>
    <row r="12" spans="1:30" s="12" customFormat="1" x14ac:dyDescent="0.3">
      <c r="B12" s="11" t="s">
        <v>81</v>
      </c>
      <c r="C12" s="11" t="s">
        <v>80</v>
      </c>
      <c r="D12" s="62">
        <v>80839</v>
      </c>
      <c r="E12" s="62">
        <v>83784</v>
      </c>
      <c r="F12" s="62">
        <v>101994</v>
      </c>
      <c r="G12" s="62">
        <v>114514</v>
      </c>
      <c r="H12" s="62">
        <v>112143</v>
      </c>
      <c r="I12" s="62">
        <v>129652</v>
      </c>
      <c r="J12" s="62">
        <v>147827</v>
      </c>
      <c r="K12" s="62">
        <v>131016</v>
      </c>
      <c r="L12" s="62">
        <v>163362</v>
      </c>
      <c r="M12" s="62">
        <v>166673</v>
      </c>
      <c r="N12" s="62">
        <v>249356</v>
      </c>
      <c r="O12" s="62">
        <v>284134</v>
      </c>
      <c r="P12" s="62">
        <v>258897</v>
      </c>
      <c r="Q12" s="62">
        <v>242769</v>
      </c>
      <c r="R12" s="62">
        <v>216240</v>
      </c>
      <c r="S12" s="62">
        <v>236505</v>
      </c>
      <c r="T12" s="62">
        <v>184168</v>
      </c>
      <c r="U12" s="62">
        <v>207490</v>
      </c>
      <c r="V12" s="62">
        <v>209745</v>
      </c>
      <c r="W12" s="62">
        <v>212121</v>
      </c>
      <c r="X12" s="62">
        <v>194288</v>
      </c>
      <c r="Y12" s="62">
        <v>210775</v>
      </c>
      <c r="Z12" s="62">
        <v>229449</v>
      </c>
      <c r="AA12" s="62">
        <v>261497</v>
      </c>
      <c r="AB12" s="62">
        <v>281694</v>
      </c>
      <c r="AC12" s="171">
        <v>311671</v>
      </c>
    </row>
    <row r="13" spans="1:30" s="14" customFormat="1" x14ac:dyDescent="0.3">
      <c r="B13" s="15" t="s">
        <v>83</v>
      </c>
      <c r="C13" s="15" t="s">
        <v>82</v>
      </c>
      <c r="D13" s="61">
        <v>6000</v>
      </c>
      <c r="E13" s="61">
        <v>7100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0</v>
      </c>
      <c r="X13" s="61">
        <v>0</v>
      </c>
      <c r="Y13" s="61">
        <v>0</v>
      </c>
      <c r="Z13" s="61">
        <v>0</v>
      </c>
      <c r="AA13" s="61">
        <v>0</v>
      </c>
      <c r="AB13" s="61">
        <v>0</v>
      </c>
      <c r="AC13" s="177"/>
    </row>
    <row r="14" spans="1:30" s="12" customFormat="1" x14ac:dyDescent="0.3">
      <c r="B14" s="11" t="s">
        <v>85</v>
      </c>
      <c r="C14" s="11" t="s">
        <v>84</v>
      </c>
      <c r="D14" s="62">
        <v>12257</v>
      </c>
      <c r="E14" s="62">
        <v>16073</v>
      </c>
      <c r="F14" s="62">
        <v>12855</v>
      </c>
      <c r="G14" s="62">
        <v>12469</v>
      </c>
      <c r="H14" s="62">
        <v>17061</v>
      </c>
      <c r="I14" s="62">
        <v>15496</v>
      </c>
      <c r="J14" s="62">
        <v>14198</v>
      </c>
      <c r="K14" s="62">
        <v>11118</v>
      </c>
      <c r="L14" s="62">
        <v>31276</v>
      </c>
      <c r="M14" s="62">
        <v>29850</v>
      </c>
      <c r="N14" s="62">
        <v>39457</v>
      </c>
      <c r="O14" s="62">
        <v>32520</v>
      </c>
      <c r="P14" s="62">
        <v>0</v>
      </c>
      <c r="Q14" s="62">
        <v>67208</v>
      </c>
      <c r="R14" s="62">
        <v>59864</v>
      </c>
      <c r="S14" s="62">
        <v>72984</v>
      </c>
      <c r="T14" s="62">
        <v>0</v>
      </c>
      <c r="U14" s="62">
        <v>61007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  <c r="AB14" s="62">
        <v>0</v>
      </c>
      <c r="AC14" s="171"/>
    </row>
    <row r="15" spans="1:30" s="14" customFormat="1" x14ac:dyDescent="0.3">
      <c r="B15" s="15" t="s">
        <v>203</v>
      </c>
      <c r="C15" s="15" t="s">
        <v>86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66610</v>
      </c>
      <c r="Q15" s="61">
        <v>0</v>
      </c>
      <c r="R15" s="61">
        <v>0</v>
      </c>
      <c r="S15" s="61">
        <v>0</v>
      </c>
      <c r="T15" s="61">
        <v>55392</v>
      </c>
      <c r="U15" s="61">
        <v>0</v>
      </c>
      <c r="V15" s="61">
        <v>70199</v>
      </c>
      <c r="W15" s="61">
        <v>69438</v>
      </c>
      <c r="X15" s="61">
        <v>64710</v>
      </c>
      <c r="Y15" s="61">
        <v>71189</v>
      </c>
      <c r="Z15" s="61">
        <v>66307</v>
      </c>
      <c r="AA15" s="61">
        <v>68472</v>
      </c>
      <c r="AB15" s="61">
        <v>74018</v>
      </c>
      <c r="AC15" s="177">
        <v>81923</v>
      </c>
    </row>
    <row r="16" spans="1:30" s="14" customFormat="1" x14ac:dyDescent="0.3">
      <c r="B16" s="15"/>
      <c r="C16" s="15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AC16" s="177"/>
    </row>
    <row r="17" spans="2:29" s="9" customFormat="1" x14ac:dyDescent="0.3">
      <c r="B17" s="8" t="s">
        <v>88</v>
      </c>
      <c r="C17" s="8" t="s">
        <v>87</v>
      </c>
      <c r="D17" s="64">
        <f t="shared" ref="D17:S17" si="1">SUM(D18:D28)</f>
        <v>530081</v>
      </c>
      <c r="E17" s="64">
        <f t="shared" si="1"/>
        <v>525310</v>
      </c>
      <c r="F17" s="64">
        <f t="shared" si="1"/>
        <v>528509</v>
      </c>
      <c r="G17" s="64">
        <f t="shared" si="1"/>
        <v>519963</v>
      </c>
      <c r="H17" s="64">
        <f t="shared" si="1"/>
        <v>515344</v>
      </c>
      <c r="I17" s="64">
        <f t="shared" si="1"/>
        <v>518801</v>
      </c>
      <c r="J17" s="64">
        <f t="shared" si="1"/>
        <v>525219</v>
      </c>
      <c r="K17" s="64">
        <f t="shared" si="1"/>
        <v>553652</v>
      </c>
      <c r="L17" s="64">
        <f t="shared" si="1"/>
        <v>602914</v>
      </c>
      <c r="M17" s="64">
        <f t="shared" si="1"/>
        <v>736347</v>
      </c>
      <c r="N17" s="64">
        <f t="shared" si="1"/>
        <v>1291840</v>
      </c>
      <c r="O17" s="64">
        <f t="shared" si="1"/>
        <v>1314795</v>
      </c>
      <c r="P17" s="64">
        <f t="shared" si="1"/>
        <v>1493085</v>
      </c>
      <c r="Q17" s="64">
        <f t="shared" si="1"/>
        <v>1519357</v>
      </c>
      <c r="R17" s="64">
        <f t="shared" si="1"/>
        <v>1579429</v>
      </c>
      <c r="S17" s="64">
        <f t="shared" si="1"/>
        <v>1633076</v>
      </c>
      <c r="T17" s="64">
        <v>1669708</v>
      </c>
      <c r="U17" s="64">
        <v>1711048</v>
      </c>
      <c r="V17" s="64">
        <f t="shared" ref="V17:AB17" si="2">SUM(V18:V28)</f>
        <v>1831103</v>
      </c>
      <c r="W17" s="64">
        <f t="shared" si="2"/>
        <v>2209268</v>
      </c>
      <c r="X17" s="64">
        <f t="shared" si="2"/>
        <v>2422450</v>
      </c>
      <c r="Y17" s="64">
        <f t="shared" si="2"/>
        <v>2504111</v>
      </c>
      <c r="Z17" s="64">
        <f t="shared" si="2"/>
        <v>2678562</v>
      </c>
      <c r="AA17" s="64">
        <f t="shared" si="2"/>
        <v>2770869</v>
      </c>
      <c r="AB17" s="64">
        <f t="shared" si="2"/>
        <v>2948698</v>
      </c>
      <c r="AC17" s="176">
        <v>3100626</v>
      </c>
    </row>
    <row r="18" spans="2:29" s="12" customFormat="1" x14ac:dyDescent="0.3">
      <c r="B18" s="11" t="s">
        <v>89</v>
      </c>
      <c r="C18" s="11" t="s">
        <v>75</v>
      </c>
      <c r="D18" s="62">
        <v>0</v>
      </c>
      <c r="E18" s="62">
        <v>0</v>
      </c>
      <c r="F18" s="62">
        <v>0</v>
      </c>
      <c r="G18" s="62">
        <v>0</v>
      </c>
      <c r="H18" s="62">
        <v>8135</v>
      </c>
      <c r="I18" s="62">
        <v>8391</v>
      </c>
      <c r="J18" s="62">
        <v>12339</v>
      </c>
      <c r="K18" s="62">
        <v>9565</v>
      </c>
      <c r="L18" s="62">
        <v>9041</v>
      </c>
      <c r="M18" s="62">
        <v>10712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0</v>
      </c>
      <c r="U18" s="62">
        <v>0</v>
      </c>
      <c r="V18" s="62">
        <v>0</v>
      </c>
      <c r="W18" s="62">
        <v>0</v>
      </c>
      <c r="X18" s="62">
        <v>42402</v>
      </c>
      <c r="Y18" s="62">
        <v>35270</v>
      </c>
      <c r="Z18" s="62">
        <v>36792</v>
      </c>
      <c r="AA18" s="62">
        <v>29717</v>
      </c>
      <c r="AB18" s="62">
        <v>0</v>
      </c>
      <c r="AC18" s="171">
        <v>9184</v>
      </c>
    </row>
    <row r="19" spans="2:29" s="14" customFormat="1" x14ac:dyDescent="0.3">
      <c r="B19" s="15" t="s">
        <v>81</v>
      </c>
      <c r="C19" s="15" t="s">
        <v>80</v>
      </c>
      <c r="D19" s="61">
        <v>15474</v>
      </c>
      <c r="E19" s="61">
        <v>13032</v>
      </c>
      <c r="F19" s="61">
        <v>11811</v>
      </c>
      <c r="G19" s="61">
        <v>6014</v>
      </c>
      <c r="H19" s="61">
        <v>9730</v>
      </c>
      <c r="I19" s="61">
        <v>9900</v>
      </c>
      <c r="J19" s="61">
        <v>9900</v>
      </c>
      <c r="K19" s="61">
        <v>14660</v>
      </c>
      <c r="L19" s="61">
        <v>14660</v>
      </c>
      <c r="M19" s="61">
        <v>14660</v>
      </c>
      <c r="N19" s="61">
        <v>14660</v>
      </c>
      <c r="O19" s="61">
        <v>14660</v>
      </c>
      <c r="P19" s="61">
        <v>14660</v>
      </c>
      <c r="Q19" s="61">
        <v>10760</v>
      </c>
      <c r="R19" s="61">
        <v>13317</v>
      </c>
      <c r="S19" s="61">
        <v>14963</v>
      </c>
      <c r="T19" s="61">
        <v>48572</v>
      </c>
      <c r="U19" s="61">
        <v>51279</v>
      </c>
      <c r="V19" s="61">
        <v>56329</v>
      </c>
      <c r="W19" s="61">
        <v>63308</v>
      </c>
      <c r="X19" s="61">
        <v>59975</v>
      </c>
      <c r="Y19" s="61">
        <v>52084</v>
      </c>
      <c r="Z19" s="61">
        <v>56352</v>
      </c>
      <c r="AA19" s="61">
        <v>56776</v>
      </c>
      <c r="AB19" s="61">
        <v>37686</v>
      </c>
      <c r="AC19" s="177">
        <v>39453</v>
      </c>
    </row>
    <row r="20" spans="2:29" s="12" customFormat="1" x14ac:dyDescent="0.3">
      <c r="B20" s="11" t="s">
        <v>83</v>
      </c>
      <c r="C20" s="11" t="s">
        <v>82</v>
      </c>
      <c r="D20" s="62">
        <v>3220</v>
      </c>
      <c r="E20" s="62">
        <v>3173</v>
      </c>
      <c r="F20" s="62">
        <v>3868</v>
      </c>
      <c r="G20" s="62">
        <v>5486</v>
      </c>
      <c r="H20" s="62">
        <v>8485</v>
      </c>
      <c r="I20" s="62">
        <v>10570</v>
      </c>
      <c r="J20" s="62">
        <v>0</v>
      </c>
      <c r="K20" s="62">
        <v>1314</v>
      </c>
      <c r="L20" s="62">
        <v>7015</v>
      </c>
      <c r="M20" s="62">
        <v>3771</v>
      </c>
      <c r="N20" s="62">
        <v>4399</v>
      </c>
      <c r="O20" s="62">
        <v>8969</v>
      </c>
      <c r="P20" s="62">
        <v>7866</v>
      </c>
      <c r="Q20" s="62">
        <v>8710</v>
      </c>
      <c r="R20" s="62">
        <v>9944</v>
      </c>
      <c r="S20" s="62">
        <v>11508</v>
      </c>
      <c r="T20" s="62">
        <v>3006</v>
      </c>
      <c r="U20" s="62">
        <v>4778</v>
      </c>
      <c r="V20" s="62">
        <v>5192</v>
      </c>
      <c r="W20" s="62">
        <v>7817</v>
      </c>
      <c r="X20" s="62">
        <v>9478</v>
      </c>
      <c r="Y20" s="62">
        <v>11183</v>
      </c>
      <c r="Z20" s="62">
        <v>15961</v>
      </c>
      <c r="AA20" s="62">
        <v>18115</v>
      </c>
      <c r="AB20" s="62">
        <v>39506</v>
      </c>
      <c r="AC20" s="171">
        <v>45999</v>
      </c>
    </row>
    <row r="21" spans="2:29" s="14" customFormat="1" x14ac:dyDescent="0.3">
      <c r="B21" s="15" t="s">
        <v>91</v>
      </c>
      <c r="C21" s="15" t="s">
        <v>90</v>
      </c>
      <c r="D21" s="61">
        <v>112994</v>
      </c>
      <c r="E21" s="61">
        <v>112994</v>
      </c>
      <c r="F21" s="61">
        <v>111321</v>
      </c>
      <c r="G21" s="61">
        <v>111321</v>
      </c>
      <c r="H21" s="61">
        <v>82727</v>
      </c>
      <c r="I21" s="61">
        <v>77555</v>
      </c>
      <c r="J21" s="61">
        <v>77455</v>
      </c>
      <c r="K21" s="61">
        <v>79154</v>
      </c>
      <c r="L21" s="61">
        <v>69563</v>
      </c>
      <c r="M21" s="61">
        <v>69511</v>
      </c>
      <c r="N21" s="61">
        <v>62675</v>
      </c>
      <c r="O21" s="61">
        <v>60560</v>
      </c>
      <c r="P21" s="61">
        <v>53090</v>
      </c>
      <c r="Q21" s="61">
        <v>62972</v>
      </c>
      <c r="R21" s="61">
        <v>63540</v>
      </c>
      <c r="S21" s="61">
        <v>64128</v>
      </c>
      <c r="T21" s="61">
        <v>76287</v>
      </c>
      <c r="U21" s="61">
        <v>76755</v>
      </c>
      <c r="V21" s="61">
        <v>77275</v>
      </c>
      <c r="W21" s="61">
        <v>78453</v>
      </c>
      <c r="X21" s="61">
        <v>79973</v>
      </c>
      <c r="Y21" s="61">
        <v>80773</v>
      </c>
      <c r="Z21" s="61">
        <v>81277</v>
      </c>
      <c r="AA21" s="61">
        <v>81875</v>
      </c>
      <c r="AB21" s="61">
        <v>82325</v>
      </c>
      <c r="AC21" s="177">
        <v>84986</v>
      </c>
    </row>
    <row r="22" spans="2:29" s="12" customFormat="1" x14ac:dyDescent="0.3">
      <c r="B22" s="11" t="s">
        <v>85</v>
      </c>
      <c r="C22" s="11" t="s">
        <v>92</v>
      </c>
      <c r="D22" s="62">
        <v>5960</v>
      </c>
      <c r="E22" s="62">
        <v>5960</v>
      </c>
      <c r="F22" s="62">
        <v>7056</v>
      </c>
      <c r="G22" s="62">
        <v>7215</v>
      </c>
      <c r="H22" s="62">
        <v>5999</v>
      </c>
      <c r="I22" s="62">
        <v>5992</v>
      </c>
      <c r="J22" s="62">
        <v>6327</v>
      </c>
      <c r="K22" s="62">
        <v>6547</v>
      </c>
      <c r="L22" s="62">
        <v>6194</v>
      </c>
      <c r="M22" s="62">
        <v>6545</v>
      </c>
      <c r="N22" s="62">
        <v>6291</v>
      </c>
      <c r="O22" s="62">
        <v>8444</v>
      </c>
      <c r="P22" s="62">
        <v>0</v>
      </c>
      <c r="Q22" s="62">
        <v>17660</v>
      </c>
      <c r="R22" s="62">
        <v>5180</v>
      </c>
      <c r="S22" s="62">
        <v>8027</v>
      </c>
      <c r="T22" s="62">
        <v>4641</v>
      </c>
      <c r="U22" s="62">
        <v>6072</v>
      </c>
      <c r="V22" s="62">
        <v>6094</v>
      </c>
      <c r="W22" s="62">
        <v>0</v>
      </c>
      <c r="X22" s="62">
        <v>0</v>
      </c>
      <c r="Y22" s="62">
        <v>0</v>
      </c>
      <c r="Z22" s="62">
        <v>0</v>
      </c>
      <c r="AA22" s="62">
        <v>0</v>
      </c>
      <c r="AB22" s="62">
        <v>0</v>
      </c>
      <c r="AC22" s="171"/>
    </row>
    <row r="23" spans="2:29" s="14" customFormat="1" x14ac:dyDescent="0.3">
      <c r="B23" s="15" t="s">
        <v>94</v>
      </c>
      <c r="C23" s="15" t="s">
        <v>93</v>
      </c>
      <c r="D23" s="61">
        <v>6267</v>
      </c>
      <c r="E23" s="61">
        <v>7871</v>
      </c>
      <c r="F23" s="61">
        <v>8383</v>
      </c>
      <c r="G23" s="61">
        <v>8447</v>
      </c>
      <c r="H23" s="61">
        <v>8498</v>
      </c>
      <c r="I23" s="61">
        <v>8566</v>
      </c>
      <c r="J23" s="61">
        <v>12152</v>
      </c>
      <c r="K23" s="61">
        <v>14901</v>
      </c>
      <c r="L23" s="61">
        <v>6579</v>
      </c>
      <c r="M23" s="61">
        <v>6579</v>
      </c>
      <c r="N23" s="61">
        <v>9064</v>
      </c>
      <c r="O23" s="61">
        <v>9054</v>
      </c>
      <c r="P23" s="61">
        <v>7162</v>
      </c>
      <c r="Q23" s="61">
        <v>7166</v>
      </c>
      <c r="R23" s="61">
        <v>7166</v>
      </c>
      <c r="S23" s="61">
        <v>7166</v>
      </c>
      <c r="T23" s="61">
        <v>10938</v>
      </c>
      <c r="U23" s="61">
        <v>5549</v>
      </c>
      <c r="V23" s="61">
        <v>5568</v>
      </c>
      <c r="W23" s="61">
        <v>6018</v>
      </c>
      <c r="X23" s="61">
        <v>6066</v>
      </c>
      <c r="Y23" s="61">
        <v>6066</v>
      </c>
      <c r="Z23" s="61">
        <v>6066</v>
      </c>
      <c r="AA23" s="61">
        <v>6066</v>
      </c>
      <c r="AB23" s="61">
        <v>6066</v>
      </c>
      <c r="AC23" s="177">
        <v>6066</v>
      </c>
    </row>
    <row r="24" spans="2:29" s="12" customFormat="1" x14ac:dyDescent="0.3">
      <c r="B24" s="11" t="s">
        <v>215</v>
      </c>
      <c r="C24" s="11" t="s">
        <v>248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18009</v>
      </c>
      <c r="J24" s="62">
        <v>0</v>
      </c>
      <c r="K24" s="62">
        <v>1623</v>
      </c>
      <c r="L24" s="62">
        <v>4422</v>
      </c>
      <c r="M24" s="62">
        <v>15439</v>
      </c>
      <c r="N24" s="62">
        <v>30919</v>
      </c>
      <c r="O24" s="62">
        <v>39860</v>
      </c>
      <c r="P24" s="62">
        <v>44084</v>
      </c>
      <c r="Q24" s="62">
        <v>47169</v>
      </c>
      <c r="R24" s="62">
        <v>79300</v>
      </c>
      <c r="S24" s="62">
        <v>77972</v>
      </c>
      <c r="T24" s="62">
        <v>98957</v>
      </c>
      <c r="U24" s="62">
        <v>102447</v>
      </c>
      <c r="V24" s="62">
        <v>101856</v>
      </c>
      <c r="W24" s="62">
        <v>106556</v>
      </c>
      <c r="X24" s="62">
        <v>112801</v>
      </c>
      <c r="Y24" s="62">
        <v>116825</v>
      </c>
      <c r="Z24" s="62">
        <v>118672</v>
      </c>
      <c r="AA24" s="62">
        <v>119706</v>
      </c>
      <c r="AB24" s="62">
        <v>117461</v>
      </c>
      <c r="AC24" s="171">
        <v>117036</v>
      </c>
    </row>
    <row r="25" spans="2:29" s="14" customFormat="1" x14ac:dyDescent="0.3">
      <c r="B25" s="15" t="s">
        <v>96</v>
      </c>
      <c r="C25" s="15" t="s">
        <v>95</v>
      </c>
      <c r="D25" s="61">
        <v>11585</v>
      </c>
      <c r="E25" s="61">
        <v>11179</v>
      </c>
      <c r="F25" s="61">
        <v>9711</v>
      </c>
      <c r="G25" s="61">
        <v>8990</v>
      </c>
      <c r="H25" s="61">
        <v>11201</v>
      </c>
      <c r="I25" s="61">
        <v>0</v>
      </c>
      <c r="J25" s="61">
        <v>17861</v>
      </c>
      <c r="K25" s="61">
        <v>22216</v>
      </c>
      <c r="L25" s="61">
        <v>18810</v>
      </c>
      <c r="M25" s="61">
        <v>20349</v>
      </c>
      <c r="N25" s="61">
        <v>32183</v>
      </c>
      <c r="O25" s="61">
        <v>44721</v>
      </c>
      <c r="P25" s="61">
        <v>42658</v>
      </c>
      <c r="Q25" s="61">
        <v>36672</v>
      </c>
      <c r="R25" s="61">
        <v>46848</v>
      </c>
      <c r="S25" s="61">
        <v>38878</v>
      </c>
      <c r="T25" s="61">
        <v>40670</v>
      </c>
      <c r="U25" s="61">
        <v>41626</v>
      </c>
      <c r="V25" s="61">
        <v>45004</v>
      </c>
      <c r="W25" s="61">
        <v>96143</v>
      </c>
      <c r="X25" s="61">
        <v>98549</v>
      </c>
      <c r="Y25" s="61">
        <v>100278</v>
      </c>
      <c r="Z25" s="61">
        <v>80784</v>
      </c>
      <c r="AA25" s="61">
        <v>73022</v>
      </c>
      <c r="AB25" s="61">
        <v>98014</v>
      </c>
      <c r="AC25" s="177">
        <v>87373</v>
      </c>
    </row>
    <row r="26" spans="2:29" s="12" customFormat="1" x14ac:dyDescent="0.3">
      <c r="B26" s="11" t="s">
        <v>201</v>
      </c>
      <c r="C26" s="11" t="s">
        <v>97</v>
      </c>
      <c r="D26" s="62">
        <v>272158</v>
      </c>
      <c r="E26" s="62">
        <v>268175</v>
      </c>
      <c r="F26" s="62">
        <v>277176</v>
      </c>
      <c r="G26" s="62">
        <v>274941</v>
      </c>
      <c r="H26" s="62">
        <v>284195</v>
      </c>
      <c r="I26" s="62">
        <v>284571</v>
      </c>
      <c r="J26" s="62">
        <v>295006</v>
      </c>
      <c r="K26" s="62">
        <v>310592</v>
      </c>
      <c r="L26" s="62">
        <v>375789</v>
      </c>
      <c r="M26" s="62">
        <v>436313</v>
      </c>
      <c r="N26" s="62">
        <v>743024</v>
      </c>
      <c r="O26" s="62">
        <v>745099</v>
      </c>
      <c r="P26" s="62">
        <v>785079</v>
      </c>
      <c r="Q26" s="62">
        <v>815367</v>
      </c>
      <c r="R26" s="62">
        <v>842620</v>
      </c>
      <c r="S26" s="62">
        <v>904989</v>
      </c>
      <c r="T26" s="62">
        <v>920767</v>
      </c>
      <c r="U26" s="62">
        <v>963174</v>
      </c>
      <c r="V26" s="62">
        <v>1080851</v>
      </c>
      <c r="W26" s="62">
        <v>1363573</v>
      </c>
      <c r="X26" s="62">
        <v>1556269</v>
      </c>
      <c r="Y26" s="62">
        <v>1642208</v>
      </c>
      <c r="Z26" s="62">
        <v>1828490</v>
      </c>
      <c r="AA26" s="62">
        <v>1937105</v>
      </c>
      <c r="AB26" s="62">
        <v>2070525</v>
      </c>
      <c r="AC26" s="171">
        <v>2218630</v>
      </c>
    </row>
    <row r="27" spans="2:29" s="14" customFormat="1" x14ac:dyDescent="0.3">
      <c r="B27" s="15" t="s">
        <v>99</v>
      </c>
      <c r="C27" s="15" t="s">
        <v>98</v>
      </c>
      <c r="D27" s="61">
        <v>102423</v>
      </c>
      <c r="E27" s="61">
        <v>102926</v>
      </c>
      <c r="F27" s="61">
        <v>99183</v>
      </c>
      <c r="G27" s="61">
        <v>97549</v>
      </c>
      <c r="H27" s="61">
        <v>96374</v>
      </c>
      <c r="I27" s="61">
        <v>95247</v>
      </c>
      <c r="J27" s="61">
        <v>94179</v>
      </c>
      <c r="K27" s="61">
        <v>93080</v>
      </c>
      <c r="L27" s="61">
        <v>90841</v>
      </c>
      <c r="M27" s="61">
        <v>152468</v>
      </c>
      <c r="N27" s="61">
        <v>388625</v>
      </c>
      <c r="O27" s="61">
        <v>383428</v>
      </c>
      <c r="P27" s="61">
        <v>525522</v>
      </c>
      <c r="Q27" s="61">
        <v>512881</v>
      </c>
      <c r="R27" s="61">
        <v>511514</v>
      </c>
      <c r="S27" s="61">
        <v>505445</v>
      </c>
      <c r="T27" s="61">
        <v>465870</v>
      </c>
      <c r="U27" s="61">
        <v>459368</v>
      </c>
      <c r="V27" s="61">
        <v>452934</v>
      </c>
      <c r="W27" s="61">
        <v>481238</v>
      </c>
      <c r="X27" s="61">
        <v>450867</v>
      </c>
      <c r="Y27" s="61">
        <v>453354</v>
      </c>
      <c r="Z27" s="61">
        <v>448098</v>
      </c>
      <c r="AA27" s="61">
        <v>442417</v>
      </c>
      <c r="AB27" s="61">
        <v>490998</v>
      </c>
      <c r="AC27" s="177">
        <v>485782</v>
      </c>
    </row>
    <row r="28" spans="2:29" s="12" customFormat="1" x14ac:dyDescent="0.3">
      <c r="B28" s="11" t="s">
        <v>203</v>
      </c>
      <c r="C28" s="11" t="s">
        <v>86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62">
        <v>0</v>
      </c>
      <c r="P28" s="62">
        <v>12964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2">
        <v>6162</v>
      </c>
      <c r="X28" s="62">
        <v>6070</v>
      </c>
      <c r="Y28" s="62">
        <v>6070</v>
      </c>
      <c r="Z28" s="62">
        <v>6070</v>
      </c>
      <c r="AA28" s="62">
        <v>6070</v>
      </c>
      <c r="AB28" s="62">
        <v>6117</v>
      </c>
      <c r="AC28" s="171">
        <v>6117</v>
      </c>
    </row>
    <row r="29" spans="2:29" s="9" customFormat="1" x14ac:dyDescent="0.3">
      <c r="B29" s="8" t="s">
        <v>101</v>
      </c>
      <c r="C29" s="8" t="s">
        <v>100</v>
      </c>
      <c r="D29" s="64">
        <f t="shared" ref="D29:W29" si="3">SUM(D17,D7)</f>
        <v>653114</v>
      </c>
      <c r="E29" s="64">
        <f t="shared" si="3"/>
        <v>660087</v>
      </c>
      <c r="F29" s="64">
        <f t="shared" si="3"/>
        <v>667439</v>
      </c>
      <c r="G29" s="64">
        <f t="shared" si="3"/>
        <v>675631</v>
      </c>
      <c r="H29" s="64">
        <f t="shared" si="3"/>
        <v>670861</v>
      </c>
      <c r="I29" s="64">
        <f t="shared" si="3"/>
        <v>1026589</v>
      </c>
      <c r="J29" s="64">
        <f t="shared" si="3"/>
        <v>966787</v>
      </c>
      <c r="K29" s="64">
        <f t="shared" si="3"/>
        <v>924473</v>
      </c>
      <c r="L29" s="64">
        <f t="shared" si="3"/>
        <v>1206063</v>
      </c>
      <c r="M29" s="64">
        <f t="shared" si="3"/>
        <v>1218866</v>
      </c>
      <c r="N29" s="64">
        <f t="shared" si="3"/>
        <v>1654061</v>
      </c>
      <c r="O29" s="64">
        <f t="shared" si="3"/>
        <v>1689875</v>
      </c>
      <c r="P29" s="64">
        <f t="shared" si="3"/>
        <v>2073296</v>
      </c>
      <c r="Q29" s="64">
        <f t="shared" si="3"/>
        <v>2044537</v>
      </c>
      <c r="R29" s="64">
        <f t="shared" si="3"/>
        <v>2099356</v>
      </c>
      <c r="S29" s="64">
        <f t="shared" si="3"/>
        <v>2239121</v>
      </c>
      <c r="T29" s="64">
        <f t="shared" si="3"/>
        <v>2262344</v>
      </c>
      <c r="U29" s="64">
        <f t="shared" si="3"/>
        <v>2296704</v>
      </c>
      <c r="V29" s="64">
        <f t="shared" si="3"/>
        <v>2458471</v>
      </c>
      <c r="W29" s="64">
        <f t="shared" si="3"/>
        <v>3325011</v>
      </c>
      <c r="X29" s="64">
        <f>SUM(X17,X7)</f>
        <v>3334198</v>
      </c>
      <c r="Y29" s="64">
        <f>SUM(Y17,Y7)</f>
        <v>3387080</v>
      </c>
      <c r="Z29" s="64">
        <f>SUM(Z17,Z7)</f>
        <v>4045501</v>
      </c>
      <c r="AA29" s="64">
        <f>SUM(AA17,AA7)</f>
        <v>4224165</v>
      </c>
      <c r="AB29" s="64">
        <f>SUM(AB17,AB7)</f>
        <v>4293945</v>
      </c>
      <c r="AC29" s="176">
        <v>4446961</v>
      </c>
    </row>
    <row r="30" spans="2:29" s="14" customFormat="1" x14ac:dyDescent="0.3">
      <c r="B30" s="30"/>
      <c r="C30" s="30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AC30" s="177"/>
    </row>
    <row r="31" spans="2:29" s="9" customFormat="1" x14ac:dyDescent="0.3">
      <c r="B31" s="8" t="s">
        <v>103</v>
      </c>
      <c r="C31" s="8" t="s">
        <v>102</v>
      </c>
      <c r="D31" s="64">
        <f t="shared" ref="D31:S31" si="4">SUM(D32:D43)</f>
        <v>227205</v>
      </c>
      <c r="E31" s="64">
        <f t="shared" si="4"/>
        <v>176772</v>
      </c>
      <c r="F31" s="64">
        <f t="shared" si="4"/>
        <v>428276</v>
      </c>
      <c r="G31" s="64">
        <f t="shared" si="4"/>
        <v>207017</v>
      </c>
      <c r="H31" s="64">
        <f t="shared" si="4"/>
        <v>199138</v>
      </c>
      <c r="I31" s="64">
        <f t="shared" si="4"/>
        <v>226286</v>
      </c>
      <c r="J31" s="64">
        <f t="shared" si="4"/>
        <v>243552</v>
      </c>
      <c r="K31" s="64">
        <f t="shared" si="4"/>
        <v>223610</v>
      </c>
      <c r="L31" s="64">
        <f t="shared" si="4"/>
        <v>189089</v>
      </c>
      <c r="M31" s="64">
        <f t="shared" si="4"/>
        <v>204083</v>
      </c>
      <c r="N31" s="64">
        <f t="shared" si="4"/>
        <v>258967</v>
      </c>
      <c r="O31" s="64">
        <f t="shared" si="4"/>
        <v>301103</v>
      </c>
      <c r="P31" s="64">
        <f t="shared" si="4"/>
        <v>322882</v>
      </c>
      <c r="Q31" s="64">
        <f t="shared" si="4"/>
        <v>277421</v>
      </c>
      <c r="R31" s="64">
        <f t="shared" si="4"/>
        <v>287465</v>
      </c>
      <c r="S31" s="64">
        <f t="shared" si="4"/>
        <v>273111</v>
      </c>
      <c r="T31" s="64">
        <f>SUM(T32:T43)</f>
        <v>258431</v>
      </c>
      <c r="U31" s="64">
        <v>265608</v>
      </c>
      <c r="V31" s="64">
        <f t="shared" ref="V31:AA31" si="5">SUM(V32:V43)</f>
        <v>372059</v>
      </c>
      <c r="W31" s="64">
        <f t="shared" si="5"/>
        <v>557974</v>
      </c>
      <c r="X31" s="64">
        <f t="shared" si="5"/>
        <v>423093</v>
      </c>
      <c r="Y31" s="64">
        <f t="shared" si="5"/>
        <v>458139</v>
      </c>
      <c r="Z31" s="64">
        <f t="shared" si="5"/>
        <v>578690</v>
      </c>
      <c r="AA31" s="64">
        <f t="shared" si="5"/>
        <v>495380</v>
      </c>
      <c r="AB31" s="64">
        <f>SUM(AB32:AB43)</f>
        <v>569473</v>
      </c>
      <c r="AC31" s="176">
        <v>592648</v>
      </c>
    </row>
    <row r="32" spans="2:29" s="12" customFormat="1" x14ac:dyDescent="0.3">
      <c r="B32" s="11" t="s">
        <v>105</v>
      </c>
      <c r="C32" s="11" t="s">
        <v>104</v>
      </c>
      <c r="D32" s="62">
        <v>46505</v>
      </c>
      <c r="E32" s="62">
        <v>50307</v>
      </c>
      <c r="F32" s="62">
        <v>52542</v>
      </c>
      <c r="G32" s="62">
        <v>48461</v>
      </c>
      <c r="H32" s="62">
        <v>43166</v>
      </c>
      <c r="I32" s="62">
        <v>42128</v>
      </c>
      <c r="J32" s="62">
        <v>32440</v>
      </c>
      <c r="K32" s="62">
        <v>25454</v>
      </c>
      <c r="L32" s="62">
        <v>43810</v>
      </c>
      <c r="M32" s="62">
        <v>62081</v>
      </c>
      <c r="N32" s="62">
        <v>72522</v>
      </c>
      <c r="O32" s="62">
        <v>71976</v>
      </c>
      <c r="P32" s="62">
        <v>65821</v>
      </c>
      <c r="Q32" s="62">
        <v>64489</v>
      </c>
      <c r="R32" s="62">
        <v>50980</v>
      </c>
      <c r="S32" s="62">
        <v>51059</v>
      </c>
      <c r="T32" s="62">
        <v>59533</v>
      </c>
      <c r="U32" s="62">
        <v>52949</v>
      </c>
      <c r="V32" s="62">
        <v>66999</v>
      </c>
      <c r="W32" s="62">
        <v>68396</v>
      </c>
      <c r="X32" s="62">
        <v>106723</v>
      </c>
      <c r="Y32" s="62">
        <v>111860</v>
      </c>
      <c r="Z32" s="62">
        <v>178175</v>
      </c>
      <c r="AA32" s="62">
        <v>138488</v>
      </c>
      <c r="AB32" s="62">
        <v>145788</v>
      </c>
      <c r="AC32" s="171">
        <v>167965</v>
      </c>
    </row>
    <row r="33" spans="2:29" s="14" customFormat="1" x14ac:dyDescent="0.3">
      <c r="B33" s="15" t="s">
        <v>107</v>
      </c>
      <c r="C33" s="15" t="s">
        <v>106</v>
      </c>
      <c r="D33" s="61">
        <v>28517</v>
      </c>
      <c r="E33" s="61">
        <v>32808</v>
      </c>
      <c r="F33" s="61">
        <v>270539</v>
      </c>
      <c r="G33" s="61">
        <v>31710</v>
      </c>
      <c r="H33" s="61">
        <v>43921</v>
      </c>
      <c r="I33" s="61">
        <v>57038</v>
      </c>
      <c r="J33" s="61">
        <v>69002</v>
      </c>
      <c r="K33" s="61">
        <v>69326</v>
      </c>
      <c r="L33" s="61">
        <v>16844</v>
      </c>
      <c r="M33" s="61">
        <v>12728</v>
      </c>
      <c r="N33" s="61">
        <v>28581</v>
      </c>
      <c r="O33" s="61">
        <v>34899</v>
      </c>
      <c r="P33" s="61">
        <v>37616</v>
      </c>
      <c r="Q33" s="61">
        <v>27958</v>
      </c>
      <c r="R33" s="61">
        <v>52088</v>
      </c>
      <c r="S33" s="61">
        <v>46457</v>
      </c>
      <c r="T33" s="61">
        <v>45583</v>
      </c>
      <c r="U33" s="61">
        <v>46797</v>
      </c>
      <c r="V33" s="61">
        <v>139500</v>
      </c>
      <c r="W33" s="61">
        <v>308682</v>
      </c>
      <c r="X33" s="61">
        <v>140957</v>
      </c>
      <c r="Y33" s="61">
        <v>182561</v>
      </c>
      <c r="Z33" s="61">
        <v>235849</v>
      </c>
      <c r="AA33" s="61">
        <v>191487</v>
      </c>
      <c r="AB33" s="61">
        <v>178483</v>
      </c>
      <c r="AC33" s="177">
        <v>185886</v>
      </c>
    </row>
    <row r="34" spans="2:29" s="12" customFormat="1" x14ac:dyDescent="0.3">
      <c r="B34" s="11" t="s">
        <v>109</v>
      </c>
      <c r="C34" s="11" t="s">
        <v>108</v>
      </c>
      <c r="D34" s="62">
        <v>4633</v>
      </c>
      <c r="E34" s="62">
        <v>4729</v>
      </c>
      <c r="F34" s="62">
        <v>3786</v>
      </c>
      <c r="G34" s="62">
        <v>2860</v>
      </c>
      <c r="H34" s="62">
        <v>5493</v>
      </c>
      <c r="I34" s="62">
        <v>9229</v>
      </c>
      <c r="J34" s="62">
        <v>10401</v>
      </c>
      <c r="K34" s="62">
        <v>12007</v>
      </c>
      <c r="L34" s="62">
        <v>9526</v>
      </c>
      <c r="M34" s="62">
        <v>10609</v>
      </c>
      <c r="N34" s="62">
        <v>13717</v>
      </c>
      <c r="O34" s="62">
        <v>29340</v>
      </c>
      <c r="P34" s="62">
        <v>15211</v>
      </c>
      <c r="Q34" s="62">
        <v>6587</v>
      </c>
      <c r="R34" s="62">
        <v>26872</v>
      </c>
      <c r="S34" s="62">
        <v>23947</v>
      </c>
      <c r="T34" s="62">
        <v>29057</v>
      </c>
      <c r="U34" s="62">
        <v>30796</v>
      </c>
      <c r="V34" s="62">
        <v>34249</v>
      </c>
      <c r="W34" s="62">
        <v>50151</v>
      </c>
      <c r="X34" s="62">
        <v>45319</v>
      </c>
      <c r="Y34" s="62">
        <v>44844</v>
      </c>
      <c r="Z34" s="62">
        <v>39655</v>
      </c>
      <c r="AA34" s="62">
        <v>37700</v>
      </c>
      <c r="AB34" s="62">
        <v>49243</v>
      </c>
      <c r="AC34" s="171">
        <v>44186</v>
      </c>
    </row>
    <row r="35" spans="2:29" s="14" customFormat="1" x14ac:dyDescent="0.3">
      <c r="B35" s="15" t="s">
        <v>111</v>
      </c>
      <c r="C35" s="15" t="s">
        <v>110</v>
      </c>
      <c r="D35" s="61">
        <v>6441</v>
      </c>
      <c r="E35" s="61">
        <v>5757</v>
      </c>
      <c r="F35" s="61">
        <v>7325</v>
      </c>
      <c r="G35" s="61">
        <v>7627</v>
      </c>
      <c r="H35" s="61">
        <v>7412</v>
      </c>
      <c r="I35" s="61">
        <v>9105</v>
      </c>
      <c r="J35" s="61">
        <v>11076</v>
      </c>
      <c r="K35" s="61">
        <v>10631</v>
      </c>
      <c r="L35" s="61">
        <v>12641</v>
      </c>
      <c r="M35" s="61">
        <v>12812</v>
      </c>
      <c r="N35" s="61">
        <v>13479</v>
      </c>
      <c r="O35" s="61">
        <v>12026</v>
      </c>
      <c r="P35" s="61">
        <v>11676</v>
      </c>
      <c r="Q35" s="61">
        <v>12620</v>
      </c>
      <c r="R35" s="61">
        <v>12041</v>
      </c>
      <c r="S35" s="61">
        <v>12208</v>
      </c>
      <c r="T35" s="61">
        <v>14818</v>
      </c>
      <c r="U35" s="61">
        <v>14621</v>
      </c>
      <c r="V35" s="61">
        <v>12099</v>
      </c>
      <c r="W35" s="61">
        <v>12521</v>
      </c>
      <c r="X35" s="61">
        <v>12502</v>
      </c>
      <c r="Y35" s="61">
        <v>13982</v>
      </c>
      <c r="Z35" s="61">
        <v>14852</v>
      </c>
      <c r="AA35" s="61">
        <v>15056</v>
      </c>
      <c r="AB35" s="61">
        <v>15963</v>
      </c>
      <c r="AC35" s="177">
        <v>15222</v>
      </c>
    </row>
    <row r="36" spans="2:29" s="12" customFormat="1" x14ac:dyDescent="0.3">
      <c r="B36" s="11" t="s">
        <v>113</v>
      </c>
      <c r="C36" s="11" t="s">
        <v>112</v>
      </c>
      <c r="D36" s="62">
        <v>9530</v>
      </c>
      <c r="E36" s="62">
        <v>10583</v>
      </c>
      <c r="F36" s="62">
        <v>13885</v>
      </c>
      <c r="G36" s="62">
        <v>14112</v>
      </c>
      <c r="H36" s="62">
        <v>9789</v>
      </c>
      <c r="I36" s="62">
        <v>11753</v>
      </c>
      <c r="J36" s="62">
        <v>13857</v>
      </c>
      <c r="K36" s="62">
        <v>16333</v>
      </c>
      <c r="L36" s="62">
        <v>12710</v>
      </c>
      <c r="M36" s="62">
        <v>15611</v>
      </c>
      <c r="N36" s="62">
        <v>27959</v>
      </c>
      <c r="O36" s="62">
        <v>32059</v>
      </c>
      <c r="P36" s="62">
        <v>24849</v>
      </c>
      <c r="Q36" s="62">
        <v>28625</v>
      </c>
      <c r="R36" s="62">
        <v>31021</v>
      </c>
      <c r="S36" s="62">
        <v>34131</v>
      </c>
      <c r="T36" s="62">
        <v>25248</v>
      </c>
      <c r="U36" s="62">
        <v>28991</v>
      </c>
      <c r="V36" s="62">
        <v>34013</v>
      </c>
      <c r="W36" s="62">
        <v>36196</v>
      </c>
      <c r="X36" s="62">
        <v>32093</v>
      </c>
      <c r="Y36" s="62">
        <v>33649</v>
      </c>
      <c r="Z36" s="62">
        <v>38644</v>
      </c>
      <c r="AA36" s="62">
        <v>40727</v>
      </c>
      <c r="AB36" s="62">
        <v>31894</v>
      </c>
      <c r="AC36" s="171">
        <v>35720</v>
      </c>
    </row>
    <row r="37" spans="2:29" s="14" customFormat="1" x14ac:dyDescent="0.3">
      <c r="B37" s="15" t="s">
        <v>115</v>
      </c>
      <c r="C37" s="15" t="s">
        <v>114</v>
      </c>
      <c r="D37" s="61">
        <v>21415</v>
      </c>
      <c r="E37" s="61">
        <v>25408</v>
      </c>
      <c r="F37" s="61">
        <v>31995</v>
      </c>
      <c r="G37" s="61">
        <v>41170</v>
      </c>
      <c r="H37" s="61">
        <v>39696</v>
      </c>
      <c r="I37" s="61">
        <v>36785</v>
      </c>
      <c r="J37" s="61">
        <v>36041</v>
      </c>
      <c r="K37" s="61">
        <v>34849</v>
      </c>
      <c r="L37" s="61">
        <v>31313</v>
      </c>
      <c r="M37" s="61">
        <v>25455</v>
      </c>
      <c r="N37" s="61">
        <v>40740</v>
      </c>
      <c r="O37" s="61">
        <v>47049</v>
      </c>
      <c r="P37" s="61">
        <v>48673</v>
      </c>
      <c r="Q37" s="61">
        <v>45485</v>
      </c>
      <c r="R37" s="61">
        <v>36996</v>
      </c>
      <c r="S37" s="61">
        <v>37271</v>
      </c>
      <c r="T37" s="61">
        <v>37120</v>
      </c>
      <c r="U37" s="61">
        <v>45700</v>
      </c>
      <c r="V37" s="61">
        <v>37032</v>
      </c>
      <c r="W37" s="61">
        <v>35475</v>
      </c>
      <c r="X37" s="61">
        <v>42905</v>
      </c>
      <c r="Y37" s="61">
        <v>39662</v>
      </c>
      <c r="Z37" s="61">
        <v>38030</v>
      </c>
      <c r="AA37" s="61">
        <v>40835</v>
      </c>
      <c r="AB37" s="61">
        <v>45024</v>
      </c>
      <c r="AC37" s="177">
        <v>56942</v>
      </c>
    </row>
    <row r="38" spans="2:29" s="12" customFormat="1" x14ac:dyDescent="0.3">
      <c r="B38" s="11" t="s">
        <v>117</v>
      </c>
      <c r="C38" s="11" t="s">
        <v>116</v>
      </c>
      <c r="D38" s="62">
        <v>4243</v>
      </c>
      <c r="E38" s="62">
        <v>4219</v>
      </c>
      <c r="F38" s="62">
        <v>6382</v>
      </c>
      <c r="G38" s="62">
        <v>4186</v>
      </c>
      <c r="H38" s="62">
        <v>6707</v>
      </c>
      <c r="I38" s="62">
        <v>5712</v>
      </c>
      <c r="J38" s="62">
        <v>6359</v>
      </c>
      <c r="K38" s="62">
        <v>6509</v>
      </c>
      <c r="L38" s="62">
        <v>7561</v>
      </c>
      <c r="M38" s="62">
        <v>7155</v>
      </c>
      <c r="N38" s="62">
        <v>5655</v>
      </c>
      <c r="O38" s="62">
        <v>5820</v>
      </c>
      <c r="P38" s="62">
        <v>17904</v>
      </c>
      <c r="Q38" s="62">
        <v>18131</v>
      </c>
      <c r="R38" s="62">
        <v>18717</v>
      </c>
      <c r="S38" s="62">
        <v>18686</v>
      </c>
      <c r="T38" s="62">
        <v>19011</v>
      </c>
      <c r="U38" s="62">
        <v>18913</v>
      </c>
      <c r="V38" s="62">
        <v>21669</v>
      </c>
      <c r="W38" s="62">
        <v>20453</v>
      </c>
      <c r="X38" s="62">
        <v>24544</v>
      </c>
      <c r="Y38" s="62">
        <v>21482</v>
      </c>
      <c r="Z38" s="62">
        <v>21347</v>
      </c>
      <c r="AA38" s="62">
        <v>21136</v>
      </c>
      <c r="AB38" s="62">
        <v>12673</v>
      </c>
      <c r="AC38" s="171">
        <v>12522</v>
      </c>
    </row>
    <row r="39" spans="2:29" s="14" customFormat="1" x14ac:dyDescent="0.3">
      <c r="B39" s="15" t="s">
        <v>119</v>
      </c>
      <c r="C39" s="15" t="s">
        <v>118</v>
      </c>
      <c r="D39" s="61">
        <v>18864</v>
      </c>
      <c r="E39" s="61">
        <v>17031</v>
      </c>
      <c r="F39" s="61">
        <v>16892</v>
      </c>
      <c r="G39" s="61">
        <v>19548</v>
      </c>
      <c r="H39" s="61">
        <v>17628</v>
      </c>
      <c r="I39" s="61">
        <v>22053</v>
      </c>
      <c r="J39" s="61">
        <v>25842</v>
      </c>
      <c r="K39" s="61">
        <v>16465</v>
      </c>
      <c r="L39" s="61">
        <v>20195</v>
      </c>
      <c r="M39" s="61">
        <v>21852</v>
      </c>
      <c r="N39" s="61">
        <v>25542</v>
      </c>
      <c r="O39" s="61">
        <v>26364</v>
      </c>
      <c r="P39" s="61">
        <v>24140</v>
      </c>
      <c r="Q39" s="61">
        <v>24042</v>
      </c>
      <c r="R39" s="61">
        <v>20097</v>
      </c>
      <c r="S39" s="61">
        <v>18540</v>
      </c>
      <c r="T39" s="61">
        <v>3976</v>
      </c>
      <c r="U39" s="61">
        <v>7179</v>
      </c>
      <c r="V39" s="61">
        <v>5755</v>
      </c>
      <c r="W39" s="61">
        <v>4309</v>
      </c>
      <c r="X39" s="61">
        <v>8561</v>
      </c>
      <c r="Y39" s="61">
        <v>5512</v>
      </c>
      <c r="Z39" s="61">
        <v>6221</v>
      </c>
      <c r="AA39" s="61">
        <v>3690</v>
      </c>
      <c r="AB39" s="61">
        <v>83833</v>
      </c>
      <c r="AC39" s="177">
        <v>69699</v>
      </c>
    </row>
    <row r="40" spans="2:29" s="12" customFormat="1" x14ac:dyDescent="0.3">
      <c r="B40" s="11" t="s">
        <v>83</v>
      </c>
      <c r="C40" s="11" t="s">
        <v>120</v>
      </c>
      <c r="D40" s="62">
        <v>61507</v>
      </c>
      <c r="E40" s="62">
        <v>0</v>
      </c>
      <c r="F40" s="62">
        <v>0</v>
      </c>
      <c r="G40" s="62">
        <v>0</v>
      </c>
      <c r="H40" s="62">
        <v>0</v>
      </c>
      <c r="I40" s="62">
        <v>7843</v>
      </c>
      <c r="J40" s="62">
        <v>12166</v>
      </c>
      <c r="K40" s="62">
        <v>16443</v>
      </c>
      <c r="L40" s="62">
        <v>16829</v>
      </c>
      <c r="M40" s="62">
        <v>15439</v>
      </c>
      <c r="N40" s="62">
        <v>4242</v>
      </c>
      <c r="O40" s="62">
        <v>5709</v>
      </c>
      <c r="P40" s="62">
        <v>32255</v>
      </c>
      <c r="Q40" s="62">
        <v>0</v>
      </c>
      <c r="R40" s="62">
        <v>0</v>
      </c>
      <c r="S40" s="62">
        <v>0</v>
      </c>
      <c r="T40" s="62">
        <v>0</v>
      </c>
      <c r="U40" s="62">
        <v>0</v>
      </c>
      <c r="V40" s="62">
        <v>0</v>
      </c>
      <c r="W40" s="62">
        <v>0</v>
      </c>
      <c r="X40" s="62">
        <v>0</v>
      </c>
      <c r="Y40" s="62">
        <v>0</v>
      </c>
      <c r="Z40" s="62">
        <v>0</v>
      </c>
      <c r="AA40" s="62">
        <v>0</v>
      </c>
      <c r="AB40" s="62">
        <v>0</v>
      </c>
      <c r="AC40" s="171"/>
    </row>
    <row r="41" spans="2:29" s="14" customFormat="1" x14ac:dyDescent="0.3">
      <c r="B41" s="15" t="s">
        <v>122</v>
      </c>
      <c r="C41" s="15" t="s">
        <v>121</v>
      </c>
      <c r="D41" s="61">
        <v>629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  <c r="U41" s="61">
        <v>0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0</v>
      </c>
      <c r="AB41" s="61">
        <v>0</v>
      </c>
      <c r="AC41" s="177"/>
    </row>
    <row r="42" spans="2:29" s="12" customFormat="1" x14ac:dyDescent="0.3">
      <c r="B42" s="11" t="s">
        <v>124</v>
      </c>
      <c r="C42" s="11" t="s">
        <v>123</v>
      </c>
      <c r="D42" s="62">
        <v>11282</v>
      </c>
      <c r="E42" s="62">
        <v>12957</v>
      </c>
      <c r="F42" s="62">
        <v>9988</v>
      </c>
      <c r="G42" s="62">
        <v>23690</v>
      </c>
      <c r="H42" s="62">
        <v>10272</v>
      </c>
      <c r="I42" s="62">
        <v>9535</v>
      </c>
      <c r="J42" s="62">
        <v>10374</v>
      </c>
      <c r="K42" s="62">
        <v>10401</v>
      </c>
      <c r="L42" s="62">
        <v>13470</v>
      </c>
      <c r="M42" s="62">
        <v>10956</v>
      </c>
      <c r="N42" s="62">
        <v>15601</v>
      </c>
      <c r="O42" s="62">
        <v>14104</v>
      </c>
      <c r="P42" s="62">
        <v>12945</v>
      </c>
      <c r="Q42" s="62">
        <v>18880</v>
      </c>
      <c r="R42" s="62">
        <v>25277</v>
      </c>
      <c r="S42" s="62">
        <v>18347</v>
      </c>
      <c r="T42" s="62">
        <v>18394</v>
      </c>
      <c r="U42" s="62">
        <v>17677</v>
      </c>
      <c r="V42" s="62">
        <v>17887</v>
      </c>
      <c r="W42" s="62">
        <v>20103</v>
      </c>
      <c r="X42" s="62">
        <v>5830</v>
      </c>
      <c r="Y42" s="62">
        <v>952</v>
      </c>
      <c r="Z42" s="62">
        <v>961</v>
      </c>
      <c r="AA42" s="62">
        <v>967</v>
      </c>
      <c r="AB42" s="62">
        <v>973</v>
      </c>
      <c r="AC42" s="171">
        <v>991</v>
      </c>
    </row>
    <row r="43" spans="2:29" s="14" customFormat="1" x14ac:dyDescent="0.3">
      <c r="B43" s="15" t="s">
        <v>216</v>
      </c>
      <c r="C43" s="15" t="s">
        <v>217</v>
      </c>
      <c r="D43" s="61">
        <v>13639</v>
      </c>
      <c r="E43" s="61">
        <v>12973</v>
      </c>
      <c r="F43" s="61">
        <v>14942</v>
      </c>
      <c r="G43" s="61">
        <v>13653</v>
      </c>
      <c r="H43" s="61">
        <v>15054</v>
      </c>
      <c r="I43" s="61">
        <v>15105</v>
      </c>
      <c r="J43" s="61">
        <v>15994</v>
      </c>
      <c r="K43" s="61">
        <v>5192</v>
      </c>
      <c r="L43" s="61">
        <v>4190</v>
      </c>
      <c r="M43" s="61">
        <v>9385</v>
      </c>
      <c r="N43" s="61">
        <v>10929</v>
      </c>
      <c r="O43" s="61">
        <v>21757</v>
      </c>
      <c r="P43" s="61">
        <v>31792</v>
      </c>
      <c r="Q43" s="61">
        <v>30604</v>
      </c>
      <c r="R43" s="61">
        <v>13376</v>
      </c>
      <c r="S43" s="61">
        <v>12465</v>
      </c>
      <c r="T43" s="61">
        <v>5691</v>
      </c>
      <c r="U43" s="61">
        <v>1985</v>
      </c>
      <c r="V43" s="61">
        <v>2856</v>
      </c>
      <c r="W43" s="61">
        <v>1688</v>
      </c>
      <c r="X43" s="61">
        <v>3659</v>
      </c>
      <c r="Y43" s="61">
        <v>3635</v>
      </c>
      <c r="Z43" s="61">
        <v>4956</v>
      </c>
      <c r="AA43" s="61">
        <v>5294</v>
      </c>
      <c r="AB43" s="61">
        <v>5599</v>
      </c>
      <c r="AC43" s="177">
        <v>3515</v>
      </c>
    </row>
    <row r="44" spans="2:29" s="14" customFormat="1" x14ac:dyDescent="0.3">
      <c r="B44" s="15"/>
      <c r="C44" s="15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AC44" s="177"/>
    </row>
    <row r="45" spans="2:29" s="9" customFormat="1" x14ac:dyDescent="0.3">
      <c r="B45" s="8" t="s">
        <v>126</v>
      </c>
      <c r="C45" s="8" t="s">
        <v>125</v>
      </c>
      <c r="D45" s="64">
        <f t="shared" ref="D45:Q45" si="6">SUM(D46:D56)</f>
        <v>524332</v>
      </c>
      <c r="E45" s="64">
        <f t="shared" si="6"/>
        <v>590901</v>
      </c>
      <c r="F45" s="64">
        <f t="shared" si="6"/>
        <v>165062</v>
      </c>
      <c r="G45" s="64">
        <f t="shared" si="6"/>
        <v>393198</v>
      </c>
      <c r="H45" s="64">
        <f t="shared" si="6"/>
        <v>388997</v>
      </c>
      <c r="I45" s="64">
        <f t="shared" si="6"/>
        <v>411504</v>
      </c>
      <c r="J45" s="64">
        <f t="shared" si="6"/>
        <v>337440</v>
      </c>
      <c r="K45" s="64">
        <f t="shared" si="6"/>
        <v>316419</v>
      </c>
      <c r="L45" s="64">
        <f t="shared" si="6"/>
        <v>647561</v>
      </c>
      <c r="M45" s="64">
        <f t="shared" si="6"/>
        <v>664744</v>
      </c>
      <c r="N45" s="64">
        <f t="shared" si="6"/>
        <v>943516</v>
      </c>
      <c r="O45" s="64">
        <f t="shared" si="6"/>
        <v>958122</v>
      </c>
      <c r="P45" s="64">
        <f t="shared" si="6"/>
        <v>1168947</v>
      </c>
      <c r="Q45" s="64">
        <f t="shared" si="6"/>
        <v>1185966</v>
      </c>
      <c r="R45" s="64">
        <f t="shared" ref="R45:W45" si="7">SUM(R46:R56)</f>
        <v>1151728</v>
      </c>
      <c r="S45" s="64">
        <f t="shared" si="7"/>
        <v>1301953</v>
      </c>
      <c r="T45" s="64">
        <f t="shared" si="7"/>
        <v>1259320</v>
      </c>
      <c r="U45" s="64">
        <f t="shared" si="7"/>
        <v>1239519</v>
      </c>
      <c r="V45" s="64">
        <f t="shared" si="7"/>
        <v>1277793</v>
      </c>
      <c r="W45" s="64">
        <f t="shared" si="7"/>
        <v>1890197</v>
      </c>
      <c r="X45" s="64">
        <f>SUM(X46:X56)</f>
        <v>2037234</v>
      </c>
      <c r="Y45" s="64">
        <f>SUM(Y46:Y56)</f>
        <v>2058627</v>
      </c>
      <c r="Z45" s="64">
        <f>SUM(Z46:Z56)</f>
        <v>1962568</v>
      </c>
      <c r="AA45" s="64">
        <f>SUM(AA46:AA56)</f>
        <v>2198639</v>
      </c>
      <c r="AB45" s="64">
        <f>SUM(AB46:AB56)</f>
        <v>2172835</v>
      </c>
      <c r="AC45" s="176">
        <v>2280948</v>
      </c>
    </row>
    <row r="46" spans="2:29" s="12" customFormat="1" x14ac:dyDescent="0.3">
      <c r="B46" s="11" t="s">
        <v>107</v>
      </c>
      <c r="C46" s="11" t="s">
        <v>106</v>
      </c>
      <c r="D46" s="62">
        <v>418862</v>
      </c>
      <c r="E46" s="62">
        <v>415770</v>
      </c>
      <c r="F46" s="62">
        <v>51683</v>
      </c>
      <c r="G46" s="62">
        <v>291996</v>
      </c>
      <c r="H46" s="62">
        <v>281737</v>
      </c>
      <c r="I46" s="62">
        <v>272776</v>
      </c>
      <c r="J46" s="62">
        <v>212701</v>
      </c>
      <c r="K46" s="62">
        <v>195313</v>
      </c>
      <c r="L46" s="62">
        <v>539432</v>
      </c>
      <c r="M46" s="62">
        <v>553411</v>
      </c>
      <c r="N46" s="62">
        <v>559965</v>
      </c>
      <c r="O46" s="62">
        <v>574826</v>
      </c>
      <c r="P46" s="62">
        <v>977538</v>
      </c>
      <c r="Q46" s="62">
        <v>990560</v>
      </c>
      <c r="R46" s="62">
        <v>955452</v>
      </c>
      <c r="S46" s="62">
        <v>1098201</v>
      </c>
      <c r="T46" s="62">
        <v>1079806</v>
      </c>
      <c r="U46" s="62">
        <v>1085754</v>
      </c>
      <c r="V46" s="62">
        <v>1133232</v>
      </c>
      <c r="W46" s="62">
        <v>1585620</v>
      </c>
      <c r="X46" s="62">
        <v>1726341</v>
      </c>
      <c r="Y46" s="62">
        <v>1746730</v>
      </c>
      <c r="Z46" s="62">
        <v>1666378</v>
      </c>
      <c r="AA46" s="62">
        <v>1915243</v>
      </c>
      <c r="AB46" s="62">
        <v>1943929</v>
      </c>
      <c r="AC46" s="171">
        <v>2054653</v>
      </c>
    </row>
    <row r="47" spans="2:29" s="14" customFormat="1" x14ac:dyDescent="0.3">
      <c r="B47" s="15" t="s">
        <v>109</v>
      </c>
      <c r="C47" s="15" t="s">
        <v>108</v>
      </c>
      <c r="D47" s="61">
        <v>7530</v>
      </c>
      <c r="E47" s="61">
        <v>6644</v>
      </c>
      <c r="F47" s="61">
        <v>6644</v>
      </c>
      <c r="G47" s="61">
        <v>6644</v>
      </c>
      <c r="H47" s="61">
        <v>6226</v>
      </c>
      <c r="I47" s="61">
        <v>11170</v>
      </c>
      <c r="J47" s="61">
        <v>8569</v>
      </c>
      <c r="K47" s="61">
        <v>11432</v>
      </c>
      <c r="L47" s="61">
        <v>11431</v>
      </c>
      <c r="M47" s="61">
        <v>11811</v>
      </c>
      <c r="N47" s="61">
        <v>20698</v>
      </c>
      <c r="O47" s="61">
        <v>18482</v>
      </c>
      <c r="P47" s="61">
        <v>40800</v>
      </c>
      <c r="Q47" s="61">
        <v>43454</v>
      </c>
      <c r="R47" s="61">
        <v>33041</v>
      </c>
      <c r="S47" s="61">
        <v>27498</v>
      </c>
      <c r="T47" s="61">
        <v>23329</v>
      </c>
      <c r="U47" s="61">
        <v>21543</v>
      </c>
      <c r="V47" s="61">
        <v>20191</v>
      </c>
      <c r="W47" s="61">
        <v>47450</v>
      </c>
      <c r="X47" s="61">
        <v>62382</v>
      </c>
      <c r="Y47" s="61">
        <v>64059</v>
      </c>
      <c r="Z47" s="61">
        <v>48686</v>
      </c>
      <c r="AA47" s="61">
        <v>42207</v>
      </c>
      <c r="AB47" s="61">
        <v>54834</v>
      </c>
      <c r="AC47" s="177">
        <v>48425</v>
      </c>
    </row>
    <row r="48" spans="2:29" s="12" customFormat="1" x14ac:dyDescent="0.3">
      <c r="B48" s="11" t="s">
        <v>117</v>
      </c>
      <c r="C48" s="11" t="s">
        <v>127</v>
      </c>
      <c r="D48" s="62">
        <v>10313</v>
      </c>
      <c r="E48" s="62">
        <v>13315</v>
      </c>
      <c r="F48" s="62">
        <v>10313</v>
      </c>
      <c r="G48" s="62">
        <v>13359</v>
      </c>
      <c r="H48" s="62">
        <v>23660</v>
      </c>
      <c r="I48" s="62">
        <v>36298</v>
      </c>
      <c r="J48" s="62">
        <v>33422</v>
      </c>
      <c r="K48" s="62">
        <v>30993</v>
      </c>
      <c r="L48" s="62">
        <v>36790</v>
      </c>
      <c r="M48" s="62">
        <v>34425</v>
      </c>
      <c r="N48" s="62">
        <v>32893</v>
      </c>
      <c r="O48" s="62">
        <v>39849</v>
      </c>
      <c r="P48" s="62">
        <v>56406</v>
      </c>
      <c r="Q48" s="62">
        <v>64508</v>
      </c>
      <c r="R48" s="62">
        <v>70818</v>
      </c>
      <c r="S48" s="62">
        <v>65135</v>
      </c>
      <c r="T48" s="62">
        <v>63901</v>
      </c>
      <c r="U48" s="62">
        <v>58365</v>
      </c>
      <c r="V48" s="62">
        <v>57926</v>
      </c>
      <c r="W48" s="62">
        <v>51443</v>
      </c>
      <c r="X48" s="62">
        <v>41286</v>
      </c>
      <c r="Y48" s="62">
        <v>39024</v>
      </c>
      <c r="Z48" s="62">
        <v>35136</v>
      </c>
      <c r="AA48" s="62">
        <v>29872</v>
      </c>
      <c r="AB48" s="62">
        <v>30047</v>
      </c>
      <c r="AC48" s="171">
        <v>26333</v>
      </c>
    </row>
    <row r="49" spans="2:29" s="14" customFormat="1" x14ac:dyDescent="0.3">
      <c r="B49" s="15" t="s">
        <v>83</v>
      </c>
      <c r="C49" s="15" t="s">
        <v>120</v>
      </c>
      <c r="D49" s="61">
        <v>130</v>
      </c>
      <c r="E49" s="61">
        <v>61243</v>
      </c>
      <c r="F49" s="61">
        <v>0</v>
      </c>
      <c r="G49" s="61">
        <v>0</v>
      </c>
      <c r="H49" s="61">
        <v>0</v>
      </c>
      <c r="I49" s="61">
        <v>19246</v>
      </c>
      <c r="J49" s="61">
        <v>14959</v>
      </c>
      <c r="K49" s="61">
        <v>13655</v>
      </c>
      <c r="L49" s="61">
        <v>11917</v>
      </c>
      <c r="M49" s="61">
        <v>10678</v>
      </c>
      <c r="N49" s="61">
        <v>21765</v>
      </c>
      <c r="O49" s="61">
        <v>19055</v>
      </c>
      <c r="P49" s="61">
        <v>3619</v>
      </c>
      <c r="Q49" s="61">
        <v>7034</v>
      </c>
      <c r="R49" s="61">
        <v>11118</v>
      </c>
      <c r="S49" s="61">
        <v>34265</v>
      </c>
      <c r="T49" s="61">
        <v>20949</v>
      </c>
      <c r="U49" s="61">
        <v>6134</v>
      </c>
      <c r="V49" s="61">
        <v>3619</v>
      </c>
      <c r="W49" s="61">
        <v>3299</v>
      </c>
      <c r="X49" s="61">
        <v>3426</v>
      </c>
      <c r="Y49" s="61">
        <v>5153</v>
      </c>
      <c r="Z49" s="61">
        <v>8623</v>
      </c>
      <c r="AA49" s="61">
        <v>6859</v>
      </c>
      <c r="AB49" s="61">
        <v>12267</v>
      </c>
      <c r="AC49" s="177">
        <v>16397</v>
      </c>
    </row>
    <row r="50" spans="2:29" s="12" customFormat="1" x14ac:dyDescent="0.3">
      <c r="B50" s="11" t="s">
        <v>129</v>
      </c>
      <c r="C50" s="11" t="s">
        <v>128</v>
      </c>
      <c r="D50" s="62">
        <v>9105</v>
      </c>
      <c r="E50" s="62">
        <v>9105</v>
      </c>
      <c r="F50" s="62">
        <v>9105</v>
      </c>
      <c r="G50" s="62">
        <v>9105</v>
      </c>
      <c r="H50" s="62">
        <v>9105</v>
      </c>
      <c r="I50" s="62">
        <v>9105</v>
      </c>
      <c r="J50" s="62">
        <v>9105</v>
      </c>
      <c r="K50" s="62">
        <v>9105</v>
      </c>
      <c r="L50" s="62">
        <v>9105</v>
      </c>
      <c r="M50" s="62">
        <v>9105</v>
      </c>
      <c r="N50" s="62">
        <v>9105</v>
      </c>
      <c r="O50" s="62">
        <v>9105</v>
      </c>
      <c r="P50" s="62">
        <v>4139</v>
      </c>
      <c r="Q50" s="62">
        <v>4139</v>
      </c>
      <c r="R50" s="62">
        <v>4139</v>
      </c>
      <c r="S50" s="62">
        <v>4139</v>
      </c>
      <c r="T50" s="62">
        <v>4139</v>
      </c>
      <c r="U50" s="62">
        <v>4139</v>
      </c>
      <c r="V50" s="62">
        <v>4139</v>
      </c>
      <c r="W50" s="62">
        <v>4139</v>
      </c>
      <c r="X50" s="62">
        <v>3680</v>
      </c>
      <c r="Y50" s="62">
        <v>3680</v>
      </c>
      <c r="Z50" s="62">
        <v>3680</v>
      </c>
      <c r="AA50" s="62">
        <v>3680</v>
      </c>
      <c r="AB50" s="62">
        <v>2728</v>
      </c>
      <c r="AC50" s="171">
        <v>2728</v>
      </c>
    </row>
    <row r="51" spans="2:29" s="14" customFormat="1" x14ac:dyDescent="0.3">
      <c r="B51" s="15" t="s">
        <v>91</v>
      </c>
      <c r="C51" s="15" t="s">
        <v>130</v>
      </c>
      <c r="D51" s="61">
        <v>44437</v>
      </c>
      <c r="E51" s="61">
        <v>44437</v>
      </c>
      <c r="F51" s="61">
        <v>44437</v>
      </c>
      <c r="G51" s="61">
        <v>44437</v>
      </c>
      <c r="H51" s="61">
        <v>14684</v>
      </c>
      <c r="I51" s="61">
        <v>8712</v>
      </c>
      <c r="J51" s="61">
        <v>8391</v>
      </c>
      <c r="K51" s="61">
        <v>10877</v>
      </c>
      <c r="L51" s="61">
        <v>0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0</v>
      </c>
      <c r="Y51" s="61">
        <v>0</v>
      </c>
      <c r="Z51" s="61">
        <v>0</v>
      </c>
      <c r="AA51" s="61">
        <v>0</v>
      </c>
      <c r="AB51" s="61">
        <v>0</v>
      </c>
      <c r="AC51" s="177"/>
    </row>
    <row r="52" spans="2:29" s="12" customFormat="1" x14ac:dyDescent="0.3">
      <c r="B52" s="11" t="s">
        <v>124</v>
      </c>
      <c r="C52" s="11" t="s">
        <v>123</v>
      </c>
      <c r="D52" s="62">
        <v>13383</v>
      </c>
      <c r="E52" s="62">
        <v>19047</v>
      </c>
      <c r="F52" s="62">
        <v>18602</v>
      </c>
      <c r="G52" s="62">
        <v>2202</v>
      </c>
      <c r="H52" s="62">
        <v>12671</v>
      </c>
      <c r="I52" s="62">
        <v>12481</v>
      </c>
      <c r="J52" s="62">
        <v>10956</v>
      </c>
      <c r="K52" s="62">
        <v>9740</v>
      </c>
      <c r="L52" s="62">
        <v>5568</v>
      </c>
      <c r="M52" s="62">
        <v>5568</v>
      </c>
      <c r="N52" s="62">
        <v>249884</v>
      </c>
      <c r="O52" s="62">
        <v>248032</v>
      </c>
      <c r="P52" s="62">
        <v>40021</v>
      </c>
      <c r="Q52" s="62">
        <v>29970</v>
      </c>
      <c r="R52" s="62">
        <v>30730</v>
      </c>
      <c r="S52" s="62">
        <v>30471</v>
      </c>
      <c r="T52" s="62">
        <v>22463</v>
      </c>
      <c r="U52" s="62">
        <v>18975</v>
      </c>
      <c r="V52" s="62">
        <v>13748</v>
      </c>
      <c r="W52" s="62">
        <v>0</v>
      </c>
      <c r="X52" s="62">
        <v>0</v>
      </c>
      <c r="Y52" s="62">
        <v>0</v>
      </c>
      <c r="Z52" s="62">
        <v>0</v>
      </c>
      <c r="AA52" s="62">
        <v>0</v>
      </c>
      <c r="AB52" s="62">
        <v>0</v>
      </c>
      <c r="AC52" s="171"/>
    </row>
    <row r="53" spans="2:29" s="14" customFormat="1" x14ac:dyDescent="0.3">
      <c r="B53" s="15" t="s">
        <v>132</v>
      </c>
      <c r="C53" s="15" t="s">
        <v>131</v>
      </c>
      <c r="D53" s="61">
        <v>0</v>
      </c>
      <c r="E53" s="61">
        <v>0</v>
      </c>
      <c r="F53" s="61">
        <v>0</v>
      </c>
      <c r="G53" s="61">
        <v>0</v>
      </c>
      <c r="H53" s="61">
        <v>5149</v>
      </c>
      <c r="I53" s="61">
        <v>5149</v>
      </c>
      <c r="J53" s="61">
        <v>5149</v>
      </c>
      <c r="K53" s="61">
        <v>2780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0</v>
      </c>
      <c r="T53" s="61">
        <v>0</v>
      </c>
      <c r="U53" s="61">
        <v>0</v>
      </c>
      <c r="V53" s="61">
        <v>0</v>
      </c>
      <c r="W53" s="61">
        <v>150002</v>
      </c>
      <c r="X53" s="61">
        <v>150000</v>
      </c>
      <c r="Y53" s="61">
        <v>150000</v>
      </c>
      <c r="Z53" s="61">
        <v>150000</v>
      </c>
      <c r="AA53" s="61">
        <v>150000</v>
      </c>
      <c r="AB53" s="61">
        <v>75000</v>
      </c>
      <c r="AC53" s="177">
        <v>75000</v>
      </c>
    </row>
    <row r="54" spans="2:29" s="12" customFormat="1" x14ac:dyDescent="0.3">
      <c r="B54" s="11" t="s">
        <v>133</v>
      </c>
      <c r="C54" s="11" t="s">
        <v>133</v>
      </c>
      <c r="D54" s="62">
        <v>1581</v>
      </c>
      <c r="E54" s="62">
        <v>1616</v>
      </c>
      <c r="F54" s="62">
        <v>1609</v>
      </c>
      <c r="G54" s="62">
        <v>1153</v>
      </c>
      <c r="H54" s="62">
        <v>1003</v>
      </c>
      <c r="I54" s="62">
        <v>901</v>
      </c>
      <c r="J54" s="62">
        <v>873</v>
      </c>
      <c r="K54" s="62">
        <v>158</v>
      </c>
      <c r="L54" s="62">
        <v>158</v>
      </c>
      <c r="M54" s="62">
        <v>158</v>
      </c>
      <c r="N54" s="62">
        <v>158</v>
      </c>
      <c r="O54" s="62">
        <v>158</v>
      </c>
      <c r="P54" s="62">
        <v>158</v>
      </c>
      <c r="Q54" s="62">
        <v>158</v>
      </c>
      <c r="R54" s="62">
        <v>158</v>
      </c>
      <c r="S54" s="62">
        <v>0</v>
      </c>
      <c r="T54" s="62">
        <v>158</v>
      </c>
      <c r="U54" s="62">
        <v>158</v>
      </c>
      <c r="V54" s="62">
        <v>158</v>
      </c>
      <c r="W54" s="62">
        <v>158</v>
      </c>
      <c r="X54" s="62">
        <v>158</v>
      </c>
      <c r="Y54" s="62">
        <v>158</v>
      </c>
      <c r="Z54" s="62">
        <v>158</v>
      </c>
      <c r="AA54" s="62">
        <v>158</v>
      </c>
      <c r="AB54" s="62">
        <v>158</v>
      </c>
      <c r="AC54" s="171">
        <v>158</v>
      </c>
    </row>
    <row r="55" spans="2:29" s="14" customFormat="1" x14ac:dyDescent="0.3">
      <c r="B55" s="15" t="s">
        <v>261</v>
      </c>
      <c r="C55" s="15" t="s">
        <v>209</v>
      </c>
      <c r="D55" s="61">
        <v>18991</v>
      </c>
      <c r="E55" s="61">
        <v>19724</v>
      </c>
      <c r="F55" s="61">
        <v>22669</v>
      </c>
      <c r="G55" s="61">
        <v>24302</v>
      </c>
      <c r="H55" s="61">
        <v>34762</v>
      </c>
      <c r="I55" s="61">
        <v>35666</v>
      </c>
      <c r="J55" s="61">
        <v>33315</v>
      </c>
      <c r="K55" s="61">
        <v>32366</v>
      </c>
      <c r="L55" s="61">
        <v>33160</v>
      </c>
      <c r="M55" s="61">
        <v>34588</v>
      </c>
      <c r="N55" s="61">
        <v>28164</v>
      </c>
      <c r="O55" s="61">
        <v>22617</v>
      </c>
      <c r="P55" s="61">
        <v>25075</v>
      </c>
      <c r="Q55" s="61">
        <v>24355</v>
      </c>
      <c r="R55" s="61">
        <v>19611</v>
      </c>
      <c r="S55" s="61">
        <v>19514</v>
      </c>
      <c r="T55" s="61">
        <v>21477</v>
      </c>
      <c r="U55" s="61">
        <v>20408</v>
      </c>
      <c r="V55" s="61">
        <v>18396</v>
      </c>
      <c r="W55" s="61">
        <v>18793</v>
      </c>
      <c r="X55" s="61">
        <v>19091</v>
      </c>
      <c r="Y55" s="61">
        <v>18567</v>
      </c>
      <c r="Z55" s="61">
        <v>16951</v>
      </c>
      <c r="AA55" s="61">
        <v>15876</v>
      </c>
      <c r="AB55" s="61">
        <v>14619</v>
      </c>
      <c r="AC55" s="177">
        <v>13528</v>
      </c>
    </row>
    <row r="56" spans="2:29" s="12" customFormat="1" x14ac:dyDescent="0.3">
      <c r="B56" s="11" t="s">
        <v>135</v>
      </c>
      <c r="C56" s="11" t="s">
        <v>134</v>
      </c>
      <c r="D56" s="62">
        <v>0</v>
      </c>
      <c r="E56" s="62">
        <v>0</v>
      </c>
      <c r="F56" s="62">
        <v>0</v>
      </c>
      <c r="G56" s="62">
        <v>0</v>
      </c>
      <c r="H56" s="62">
        <v>0</v>
      </c>
      <c r="I56" s="62">
        <v>0</v>
      </c>
      <c r="J56" s="62">
        <v>0</v>
      </c>
      <c r="K56" s="62">
        <v>0</v>
      </c>
      <c r="L56" s="62">
        <v>0</v>
      </c>
      <c r="M56" s="62">
        <v>5000</v>
      </c>
      <c r="N56" s="62">
        <v>20884</v>
      </c>
      <c r="O56" s="62">
        <v>25998</v>
      </c>
      <c r="P56" s="62">
        <v>21191</v>
      </c>
      <c r="Q56" s="62">
        <v>21788</v>
      </c>
      <c r="R56" s="62">
        <v>26661</v>
      </c>
      <c r="S56" s="62">
        <v>22730</v>
      </c>
      <c r="T56" s="62">
        <v>23098</v>
      </c>
      <c r="U56" s="62">
        <v>24043</v>
      </c>
      <c r="V56" s="62">
        <v>26384</v>
      </c>
      <c r="W56" s="62">
        <v>29293</v>
      </c>
      <c r="X56" s="62">
        <v>30870</v>
      </c>
      <c r="Y56" s="62">
        <v>31256</v>
      </c>
      <c r="Z56" s="62">
        <v>32956</v>
      </c>
      <c r="AA56" s="62">
        <v>34744</v>
      </c>
      <c r="AB56" s="62">
        <v>39253</v>
      </c>
      <c r="AC56" s="171">
        <v>43726</v>
      </c>
    </row>
    <row r="57" spans="2:29" s="9" customFormat="1" x14ac:dyDescent="0.3">
      <c r="B57" s="8" t="s">
        <v>137</v>
      </c>
      <c r="C57" s="8" t="s">
        <v>136</v>
      </c>
      <c r="D57" s="64">
        <f t="shared" ref="D57:W57" si="8">SUM(D45,D31)</f>
        <v>751537</v>
      </c>
      <c r="E57" s="64">
        <f t="shared" si="8"/>
        <v>767673</v>
      </c>
      <c r="F57" s="64">
        <f t="shared" si="8"/>
        <v>593338</v>
      </c>
      <c r="G57" s="64">
        <f t="shared" si="8"/>
        <v>600215</v>
      </c>
      <c r="H57" s="64">
        <f t="shared" si="8"/>
        <v>588135</v>
      </c>
      <c r="I57" s="64">
        <f t="shared" si="8"/>
        <v>637790</v>
      </c>
      <c r="J57" s="64">
        <f t="shared" si="8"/>
        <v>580992</v>
      </c>
      <c r="K57" s="64">
        <f t="shared" si="8"/>
        <v>540029</v>
      </c>
      <c r="L57" s="64">
        <f t="shared" si="8"/>
        <v>836650</v>
      </c>
      <c r="M57" s="64">
        <f t="shared" si="8"/>
        <v>868827</v>
      </c>
      <c r="N57" s="64">
        <f t="shared" si="8"/>
        <v>1202483</v>
      </c>
      <c r="O57" s="64">
        <f t="shared" si="8"/>
        <v>1259225</v>
      </c>
      <c r="P57" s="64">
        <f t="shared" si="8"/>
        <v>1491829</v>
      </c>
      <c r="Q57" s="64">
        <f t="shared" si="8"/>
        <v>1463387</v>
      </c>
      <c r="R57" s="64">
        <f t="shared" si="8"/>
        <v>1439193</v>
      </c>
      <c r="S57" s="64">
        <f t="shared" si="8"/>
        <v>1575064</v>
      </c>
      <c r="T57" s="64">
        <f t="shared" si="8"/>
        <v>1517751</v>
      </c>
      <c r="U57" s="64">
        <f t="shared" si="8"/>
        <v>1505127</v>
      </c>
      <c r="V57" s="64">
        <f t="shared" si="8"/>
        <v>1649852</v>
      </c>
      <c r="W57" s="64">
        <f t="shared" si="8"/>
        <v>2448171</v>
      </c>
      <c r="X57" s="64">
        <f>SUM(X45,X31)</f>
        <v>2460327</v>
      </c>
      <c r="Y57" s="64">
        <f>SUM(Y45,Y31)</f>
        <v>2516766</v>
      </c>
      <c r="Z57" s="64">
        <f>SUM(Z45,Z31)</f>
        <v>2541258</v>
      </c>
      <c r="AA57" s="64">
        <f>SUM(AA45,AA31)</f>
        <v>2694019</v>
      </c>
      <c r="AB57" s="64">
        <f>SUM(AB45,AB31)</f>
        <v>2742308</v>
      </c>
      <c r="AC57" s="176">
        <v>2873596</v>
      </c>
    </row>
    <row r="58" spans="2:29" s="31" customFormat="1" x14ac:dyDescent="0.3">
      <c r="B58" s="8"/>
      <c r="C58" s="8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AC58" s="191"/>
    </row>
    <row r="59" spans="2:29" s="9" customFormat="1" x14ac:dyDescent="0.3">
      <c r="B59" s="8" t="s">
        <v>139</v>
      </c>
      <c r="C59" s="8" t="s">
        <v>138</v>
      </c>
      <c r="D59" s="64">
        <f>SUM(D70:D71)</f>
        <v>-98423</v>
      </c>
      <c r="E59" s="64">
        <f>SUM(E70:E71)</f>
        <v>-107586</v>
      </c>
      <c r="F59" s="64">
        <f>SUM(F70:F71)</f>
        <v>74101</v>
      </c>
      <c r="G59" s="64">
        <f>SUM(G70:G71)</f>
        <v>75416</v>
      </c>
      <c r="H59" s="64">
        <f>SUM(H70:H71)</f>
        <v>82726</v>
      </c>
      <c r="I59" s="64">
        <f t="shared" ref="I59:W59" si="9">SUM(I70:I71)</f>
        <v>388799</v>
      </c>
      <c r="J59" s="64">
        <f t="shared" si="9"/>
        <v>385795</v>
      </c>
      <c r="K59" s="64">
        <f t="shared" si="9"/>
        <v>384444</v>
      </c>
      <c r="L59" s="64">
        <f t="shared" si="9"/>
        <v>369413</v>
      </c>
      <c r="M59" s="64">
        <f t="shared" si="9"/>
        <v>350039</v>
      </c>
      <c r="N59" s="64">
        <f t="shared" si="9"/>
        <v>451578</v>
      </c>
      <c r="O59" s="64">
        <f t="shared" si="9"/>
        <v>430650</v>
      </c>
      <c r="P59" s="64">
        <f t="shared" si="9"/>
        <v>581467</v>
      </c>
      <c r="Q59" s="64">
        <f t="shared" si="9"/>
        <v>581150</v>
      </c>
      <c r="R59" s="64">
        <f t="shared" si="9"/>
        <v>660163</v>
      </c>
      <c r="S59" s="64">
        <f t="shared" si="9"/>
        <v>664057</v>
      </c>
      <c r="T59" s="64">
        <f t="shared" si="9"/>
        <v>744593</v>
      </c>
      <c r="U59" s="64">
        <v>791577</v>
      </c>
      <c r="V59" s="64">
        <f t="shared" si="9"/>
        <v>808619</v>
      </c>
      <c r="W59" s="64">
        <f t="shared" si="9"/>
        <v>876840</v>
      </c>
      <c r="X59" s="64">
        <f>SUM(X70:X71)</f>
        <v>873871</v>
      </c>
      <c r="Y59" s="64">
        <f>SUM(Y70:Y71)</f>
        <v>870314</v>
      </c>
      <c r="Z59" s="64">
        <f>SUM(Z70:Z71)</f>
        <v>1504243</v>
      </c>
      <c r="AA59" s="64">
        <f>SUM(AA70:AA71)</f>
        <v>1530146</v>
      </c>
      <c r="AB59" s="64">
        <f>SUM(AB70:AB71)</f>
        <v>1551637</v>
      </c>
      <c r="AC59" s="176">
        <v>1573365</v>
      </c>
    </row>
    <row r="60" spans="2:29" s="12" customFormat="1" x14ac:dyDescent="0.3">
      <c r="B60" s="11" t="s">
        <v>204</v>
      </c>
      <c r="C60" s="11" t="s">
        <v>140</v>
      </c>
      <c r="D60" s="62">
        <v>543448</v>
      </c>
      <c r="E60" s="62">
        <v>543448</v>
      </c>
      <c r="F60" s="62">
        <v>543448</v>
      </c>
      <c r="G60" s="62">
        <v>543448</v>
      </c>
      <c r="H60" s="62">
        <v>544323</v>
      </c>
      <c r="I60" s="62">
        <v>844323</v>
      </c>
      <c r="J60" s="62">
        <v>844323</v>
      </c>
      <c r="K60" s="62">
        <v>844323</v>
      </c>
      <c r="L60" s="62">
        <v>844323</v>
      </c>
      <c r="M60" s="62">
        <v>844323</v>
      </c>
      <c r="N60" s="62">
        <v>844323</v>
      </c>
      <c r="O60" s="62">
        <v>844323</v>
      </c>
      <c r="P60" s="62">
        <v>844323</v>
      </c>
      <c r="Q60" s="62">
        <v>1000006</v>
      </c>
      <c r="R60" s="62">
        <v>1091127</v>
      </c>
      <c r="S60" s="62">
        <v>1091127</v>
      </c>
      <c r="T60" s="62">
        <v>1091127</v>
      </c>
      <c r="U60" s="62">
        <v>1091127</v>
      </c>
      <c r="V60" s="62">
        <v>1091127</v>
      </c>
      <c r="W60" s="62">
        <v>1091127</v>
      </c>
      <c r="X60" s="62">
        <v>1091127</v>
      </c>
      <c r="Y60" s="62">
        <v>1091127</v>
      </c>
      <c r="Z60" s="62">
        <v>1191127</v>
      </c>
      <c r="AA60" s="62">
        <v>1191127</v>
      </c>
      <c r="AB60" s="62">
        <v>1191127</v>
      </c>
      <c r="AC60" s="171">
        <v>1191127</v>
      </c>
    </row>
    <row r="61" spans="2:29" s="14" customFormat="1" x14ac:dyDescent="0.3">
      <c r="B61" s="15" t="s">
        <v>205</v>
      </c>
      <c r="C61" s="15" t="s">
        <v>141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1">
        <v>0</v>
      </c>
      <c r="K61" s="61">
        <v>0</v>
      </c>
      <c r="L61" s="61">
        <v>0</v>
      </c>
      <c r="M61" s="61">
        <v>0</v>
      </c>
      <c r="N61" s="61">
        <v>0</v>
      </c>
      <c r="O61" s="61">
        <v>0</v>
      </c>
      <c r="P61" s="61">
        <v>566649</v>
      </c>
      <c r="Q61" s="61">
        <v>461652</v>
      </c>
      <c r="R61" s="61">
        <v>453262</v>
      </c>
      <c r="S61" s="61">
        <v>453262</v>
      </c>
      <c r="T61" s="61">
        <v>453262</v>
      </c>
      <c r="U61" s="61">
        <v>453262</v>
      </c>
      <c r="V61" s="61">
        <v>453262</v>
      </c>
      <c r="W61" s="61">
        <v>453262</v>
      </c>
      <c r="X61" s="61">
        <v>453262</v>
      </c>
      <c r="Y61" s="61">
        <v>453262</v>
      </c>
      <c r="Z61" s="61">
        <v>960434</v>
      </c>
      <c r="AA61" s="61">
        <v>958995</v>
      </c>
      <c r="AB61" s="61">
        <v>0</v>
      </c>
    </row>
    <row r="62" spans="2:29" s="12" customFormat="1" x14ac:dyDescent="0.3">
      <c r="B62" s="11" t="s">
        <v>143</v>
      </c>
      <c r="C62" s="11" t="s">
        <v>142</v>
      </c>
      <c r="D62" s="62">
        <v>0</v>
      </c>
      <c r="E62" s="62">
        <v>0</v>
      </c>
      <c r="F62" s="62">
        <v>156664</v>
      </c>
      <c r="G62" s="62">
        <v>156664</v>
      </c>
      <c r="H62" s="62">
        <v>156664</v>
      </c>
      <c r="I62" s="62">
        <v>0</v>
      </c>
      <c r="J62" s="62">
        <v>0</v>
      </c>
      <c r="K62" s="62">
        <v>0</v>
      </c>
      <c r="L62" s="62">
        <v>0</v>
      </c>
      <c r="M62" s="62">
        <v>0</v>
      </c>
      <c r="N62" s="62">
        <v>0</v>
      </c>
      <c r="O62" s="62">
        <v>0</v>
      </c>
      <c r="P62" s="62">
        <v>0</v>
      </c>
      <c r="Q62" s="62">
        <v>0</v>
      </c>
      <c r="R62" s="62">
        <v>0</v>
      </c>
      <c r="S62" s="62">
        <v>0</v>
      </c>
      <c r="T62" s="62">
        <v>0</v>
      </c>
      <c r="U62" s="62">
        <v>0</v>
      </c>
      <c r="V62" s="62">
        <v>0</v>
      </c>
      <c r="W62" s="62">
        <v>0</v>
      </c>
      <c r="X62" s="62">
        <v>0</v>
      </c>
      <c r="Y62" s="62">
        <v>0</v>
      </c>
      <c r="Z62" s="62">
        <v>0</v>
      </c>
      <c r="AA62" s="62">
        <v>0</v>
      </c>
      <c r="AB62" s="62">
        <v>0</v>
      </c>
    </row>
    <row r="63" spans="2:29" s="14" customFormat="1" x14ac:dyDescent="0.3">
      <c r="B63" s="15" t="s">
        <v>145</v>
      </c>
      <c r="C63" s="15" t="s">
        <v>144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-29802</v>
      </c>
      <c r="J63" s="61">
        <v>-31146</v>
      </c>
      <c r="K63" s="61">
        <v>-31146</v>
      </c>
      <c r="L63" s="61">
        <v>-31146</v>
      </c>
      <c r="M63" s="61">
        <v>-31146</v>
      </c>
      <c r="N63" s="61">
        <v>-31146</v>
      </c>
      <c r="O63" s="61">
        <v>-31146</v>
      </c>
      <c r="P63" s="61">
        <v>0</v>
      </c>
      <c r="Q63" s="61">
        <v>0</v>
      </c>
      <c r="R63" s="61">
        <v>0</v>
      </c>
      <c r="S63" s="61">
        <v>0</v>
      </c>
      <c r="T63" s="61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</row>
    <row r="64" spans="2:29" s="12" customFormat="1" x14ac:dyDescent="0.3">
      <c r="B64" s="11" t="s">
        <v>147</v>
      </c>
      <c r="C64" s="11" t="s">
        <v>146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268941</v>
      </c>
      <c r="J64" s="62">
        <v>268941</v>
      </c>
      <c r="K64" s="62">
        <v>268941</v>
      </c>
      <c r="L64" s="62">
        <v>268941</v>
      </c>
      <c r="M64" s="62">
        <v>268941</v>
      </c>
      <c r="N64" s="62">
        <v>268941</v>
      </c>
      <c r="O64" s="62">
        <v>268941</v>
      </c>
      <c r="P64" s="62">
        <v>0</v>
      </c>
      <c r="Q64" s="62">
        <v>0</v>
      </c>
      <c r="R64" s="62">
        <v>0</v>
      </c>
      <c r="S64" s="62">
        <v>0</v>
      </c>
      <c r="T64" s="62">
        <v>0</v>
      </c>
      <c r="U64" s="62">
        <v>0</v>
      </c>
      <c r="V64" s="62">
        <v>0</v>
      </c>
      <c r="W64" s="62">
        <v>0</v>
      </c>
      <c r="X64" s="62">
        <v>0</v>
      </c>
      <c r="Y64" s="62">
        <v>0</v>
      </c>
      <c r="Z64" s="62">
        <v>0</v>
      </c>
      <c r="AA64" s="62">
        <v>0</v>
      </c>
      <c r="AB64" s="62">
        <v>957066</v>
      </c>
      <c r="AC64" s="12">
        <v>957066</v>
      </c>
    </row>
    <row r="65" spans="1:29" s="14" customFormat="1" x14ac:dyDescent="0.3">
      <c r="B65" s="15" t="s">
        <v>206</v>
      </c>
      <c r="C65" s="15" t="s">
        <v>148</v>
      </c>
      <c r="D65" s="61">
        <v>-697889</v>
      </c>
      <c r="E65" s="61">
        <v>-707898</v>
      </c>
      <c r="F65" s="61">
        <v>-683537</v>
      </c>
      <c r="G65" s="61">
        <v>-683490</v>
      </c>
      <c r="H65" s="61">
        <v>-677824</v>
      </c>
      <c r="I65" s="61">
        <v>-724403</v>
      </c>
      <c r="J65" s="61">
        <v>-718992</v>
      </c>
      <c r="K65" s="61">
        <v>-721200</v>
      </c>
      <c r="L65" s="61">
        <v>-739852</v>
      </c>
      <c r="M65" s="61">
        <v>-759999</v>
      </c>
      <c r="N65" s="61">
        <v>-771969</v>
      </c>
      <c r="O65" s="61">
        <v>-803062</v>
      </c>
      <c r="P65" s="61">
        <v>-888858</v>
      </c>
      <c r="Q65" s="61">
        <v>-933931</v>
      </c>
      <c r="R65" s="61">
        <v>-939080</v>
      </c>
      <c r="S65" s="61">
        <v>-937229</v>
      </c>
      <c r="T65" s="61">
        <v>-848743</v>
      </c>
      <c r="U65" s="61">
        <v>-823200</v>
      </c>
      <c r="V65" s="61">
        <v>-814394</v>
      </c>
      <c r="W65" s="61">
        <v>-777310</v>
      </c>
      <c r="X65" s="61">
        <v>-787846</v>
      </c>
      <c r="Y65" s="61">
        <v>-794168</v>
      </c>
      <c r="Z65" s="61">
        <v>-770322</v>
      </c>
      <c r="AA65" s="61">
        <v>-747034</v>
      </c>
      <c r="AB65" s="61">
        <v>-727704</v>
      </c>
      <c r="AC65" s="14">
        <v>-727704</v>
      </c>
    </row>
    <row r="66" spans="1:29" s="12" customFormat="1" x14ac:dyDescent="0.3">
      <c r="B66" s="11" t="s">
        <v>207</v>
      </c>
      <c r="C66" s="11" t="s">
        <v>149</v>
      </c>
      <c r="D66" s="62">
        <v>10359</v>
      </c>
      <c r="E66" s="62">
        <v>10359</v>
      </c>
      <c r="F66" s="62">
        <v>10359</v>
      </c>
      <c r="G66" s="62">
        <v>10359</v>
      </c>
      <c r="H66" s="62">
        <v>10359</v>
      </c>
      <c r="I66" s="62">
        <v>10359</v>
      </c>
      <c r="J66" s="62">
        <v>10359</v>
      </c>
      <c r="K66" s="62">
        <v>10359</v>
      </c>
      <c r="L66" s="62">
        <v>10359</v>
      </c>
      <c r="M66" s="62">
        <v>10359</v>
      </c>
      <c r="N66" s="62">
        <v>10359</v>
      </c>
      <c r="O66" s="62">
        <v>10359</v>
      </c>
      <c r="P66" s="62">
        <v>10359</v>
      </c>
      <c r="Q66" s="62">
        <v>10359</v>
      </c>
      <c r="R66" s="62">
        <v>10359</v>
      </c>
      <c r="S66" s="62">
        <v>10359</v>
      </c>
      <c r="T66" s="62">
        <v>10359</v>
      </c>
      <c r="U66" s="62">
        <v>10359</v>
      </c>
      <c r="V66" s="62">
        <v>10359</v>
      </c>
      <c r="W66" s="62">
        <v>10359</v>
      </c>
      <c r="X66" s="62">
        <v>10359</v>
      </c>
      <c r="Y66" s="62">
        <v>10359</v>
      </c>
      <c r="Z66" s="62">
        <v>10359</v>
      </c>
      <c r="AA66" s="62">
        <v>10359</v>
      </c>
      <c r="AB66" s="62">
        <v>10359</v>
      </c>
      <c r="AC66" s="12">
        <v>10359</v>
      </c>
    </row>
    <row r="67" spans="1:29" s="14" customFormat="1" x14ac:dyDescent="0.3">
      <c r="B67" s="15" t="s">
        <v>208</v>
      </c>
      <c r="C67" s="15" t="s">
        <v>150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-1596</v>
      </c>
      <c r="O67" s="61">
        <v>7102</v>
      </c>
      <c r="P67" s="61">
        <v>18018</v>
      </c>
      <c r="Q67" s="61">
        <v>0</v>
      </c>
      <c r="R67" s="61">
        <v>0</v>
      </c>
      <c r="S67" s="61">
        <v>0</v>
      </c>
      <c r="T67" s="61">
        <v>0</v>
      </c>
      <c r="U67" s="61">
        <v>0</v>
      </c>
      <c r="V67" s="61">
        <v>6667</v>
      </c>
      <c r="W67" s="61">
        <v>6667</v>
      </c>
      <c r="X67" s="61">
        <v>11254</v>
      </c>
      <c r="Y67" s="61">
        <v>11254</v>
      </c>
      <c r="Z67" s="61">
        <v>11254</v>
      </c>
      <c r="AA67" s="61">
        <v>11254</v>
      </c>
      <c r="AB67" s="61">
        <v>11254</v>
      </c>
      <c r="AC67" s="14">
        <v>11254</v>
      </c>
    </row>
    <row r="68" spans="1:29" s="12" customFormat="1" x14ac:dyDescent="0.3">
      <c r="B68" s="11" t="s">
        <v>152</v>
      </c>
      <c r="C68" s="11" t="s">
        <v>151</v>
      </c>
      <c r="D68" s="62">
        <v>30877</v>
      </c>
      <c r="E68" s="62">
        <v>30877</v>
      </c>
      <c r="F68" s="62">
        <v>30877</v>
      </c>
      <c r="G68" s="62">
        <v>30877</v>
      </c>
      <c r="H68" s="62">
        <v>30877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113455</v>
      </c>
      <c r="O68" s="62">
        <v>113455</v>
      </c>
      <c r="P68" s="62">
        <v>0</v>
      </c>
      <c r="Q68" s="62">
        <v>0</v>
      </c>
      <c r="R68" s="62">
        <v>0</v>
      </c>
      <c r="S68" s="62">
        <v>0</v>
      </c>
      <c r="T68" s="62">
        <v>0</v>
      </c>
      <c r="U68" s="62">
        <v>0</v>
      </c>
      <c r="V68" s="62">
        <v>0</v>
      </c>
      <c r="W68" s="62">
        <v>0</v>
      </c>
      <c r="X68" s="62">
        <v>0</v>
      </c>
      <c r="Y68" s="62">
        <v>0</v>
      </c>
      <c r="Z68" s="62">
        <v>0</v>
      </c>
      <c r="AA68" s="62">
        <v>0</v>
      </c>
      <c r="AB68" s="62">
        <v>0</v>
      </c>
    </row>
    <row r="69" spans="1:29" s="14" customFormat="1" x14ac:dyDescent="0.3">
      <c r="B69" s="15" t="s">
        <v>154</v>
      </c>
      <c r="C69" s="15" t="s">
        <v>153</v>
      </c>
      <c r="D69" s="61">
        <v>3023</v>
      </c>
      <c r="E69" s="61">
        <v>3023</v>
      </c>
      <c r="F69" s="61">
        <v>3023</v>
      </c>
      <c r="G69" s="61">
        <v>3023</v>
      </c>
      <c r="H69" s="61">
        <v>3023</v>
      </c>
      <c r="I69" s="61">
        <v>3023</v>
      </c>
      <c r="J69" s="61">
        <v>3023</v>
      </c>
      <c r="K69" s="61">
        <v>3023</v>
      </c>
      <c r="L69" s="61">
        <v>3023</v>
      </c>
      <c r="M69" s="61">
        <v>3023</v>
      </c>
      <c r="N69" s="61">
        <v>3023</v>
      </c>
      <c r="O69" s="61">
        <v>3023</v>
      </c>
      <c r="P69" s="61">
        <v>0</v>
      </c>
      <c r="Q69" s="61">
        <v>0</v>
      </c>
      <c r="R69" s="61">
        <v>0</v>
      </c>
      <c r="S69" s="61">
        <v>0</v>
      </c>
      <c r="T69" s="61">
        <v>0</v>
      </c>
      <c r="U69" s="61">
        <v>0</v>
      </c>
      <c r="V69" s="61">
        <v>0</v>
      </c>
      <c r="W69" s="61">
        <v>0</v>
      </c>
      <c r="X69" s="61">
        <v>0</v>
      </c>
      <c r="Y69" s="61">
        <v>0</v>
      </c>
      <c r="Z69" s="61">
        <v>0</v>
      </c>
      <c r="AA69" s="61">
        <v>0</v>
      </c>
      <c r="AB69" s="61">
        <v>0</v>
      </c>
    </row>
    <row r="70" spans="1:29" s="12" customFormat="1" x14ac:dyDescent="0.3">
      <c r="B70" s="11" t="s">
        <v>156</v>
      </c>
      <c r="C70" s="11" t="s">
        <v>155</v>
      </c>
      <c r="D70" s="62">
        <v>-110182</v>
      </c>
      <c r="E70" s="62">
        <v>-120191</v>
      </c>
      <c r="F70" s="62">
        <v>60834</v>
      </c>
      <c r="G70" s="62">
        <v>60881</v>
      </c>
      <c r="H70" s="62">
        <v>67422</v>
      </c>
      <c r="I70" s="62">
        <v>372441</v>
      </c>
      <c r="J70" s="62">
        <v>376508</v>
      </c>
      <c r="K70" s="62">
        <v>374300</v>
      </c>
      <c r="L70" s="62">
        <v>355648</v>
      </c>
      <c r="M70" s="62">
        <v>335501</v>
      </c>
      <c r="N70" s="62">
        <v>435390</v>
      </c>
      <c r="O70" s="62">
        <v>412995</v>
      </c>
      <c r="P70" s="62">
        <v>550491</v>
      </c>
      <c r="Q70" s="62">
        <v>538086</v>
      </c>
      <c r="R70" s="62">
        <v>615668</v>
      </c>
      <c r="S70" s="62">
        <v>617519</v>
      </c>
      <c r="T70" s="62">
        <v>706005</v>
      </c>
      <c r="U70" s="62">
        <v>731548</v>
      </c>
      <c r="V70" s="62">
        <v>747021</v>
      </c>
      <c r="W70" s="62">
        <v>784105</v>
      </c>
      <c r="X70" s="62">
        <v>778156</v>
      </c>
      <c r="Y70" s="62">
        <v>771834</v>
      </c>
      <c r="Z70" s="62">
        <v>1402852</v>
      </c>
      <c r="AA70" s="62">
        <v>1424701</v>
      </c>
      <c r="AB70" s="62">
        <v>1442102</v>
      </c>
      <c r="AC70" s="12">
        <v>1459992</v>
      </c>
    </row>
    <row r="71" spans="1:29" s="14" customFormat="1" x14ac:dyDescent="0.3">
      <c r="B71" s="15" t="s">
        <v>158</v>
      </c>
      <c r="C71" s="15" t="s">
        <v>157</v>
      </c>
      <c r="D71" s="61">
        <v>11759</v>
      </c>
      <c r="E71" s="61">
        <v>12605</v>
      </c>
      <c r="F71" s="61">
        <v>13267</v>
      </c>
      <c r="G71" s="61">
        <v>14535</v>
      </c>
      <c r="H71" s="61">
        <v>15304</v>
      </c>
      <c r="I71" s="61">
        <v>16358</v>
      </c>
      <c r="J71" s="61">
        <v>9287</v>
      </c>
      <c r="K71" s="61">
        <v>10144</v>
      </c>
      <c r="L71" s="61">
        <v>13765</v>
      </c>
      <c r="M71" s="61">
        <v>14538</v>
      </c>
      <c r="N71" s="61">
        <v>16188</v>
      </c>
      <c r="O71" s="61">
        <v>17655</v>
      </c>
      <c r="P71" s="61">
        <v>30976</v>
      </c>
      <c r="Q71" s="61">
        <v>43064</v>
      </c>
      <c r="R71" s="61">
        <v>44495</v>
      </c>
      <c r="S71" s="61">
        <v>46538</v>
      </c>
      <c r="T71" s="61">
        <v>38588</v>
      </c>
      <c r="U71" s="61">
        <v>60029</v>
      </c>
      <c r="V71" s="61">
        <v>61598</v>
      </c>
      <c r="W71" s="61">
        <v>92735</v>
      </c>
      <c r="X71" s="61">
        <v>95715</v>
      </c>
      <c r="Y71" s="61">
        <v>98480</v>
      </c>
      <c r="Z71" s="61">
        <v>101391</v>
      </c>
      <c r="AA71" s="61">
        <v>105445</v>
      </c>
      <c r="AB71" s="61">
        <v>109535</v>
      </c>
      <c r="AC71" s="14">
        <v>113373</v>
      </c>
    </row>
    <row r="72" spans="1:29" s="17" customFormat="1" x14ac:dyDescent="0.3">
      <c r="A72" s="17" t="s">
        <v>0</v>
      </c>
      <c r="B72" s="16" t="s">
        <v>160</v>
      </c>
      <c r="C72" s="16" t="s">
        <v>159</v>
      </c>
      <c r="D72" s="65">
        <f>D59+D57</f>
        <v>653114</v>
      </c>
      <c r="E72" s="65">
        <f t="shared" ref="E72:W72" si="10">E59+E57</f>
        <v>660087</v>
      </c>
      <c r="F72" s="65">
        <f t="shared" si="10"/>
        <v>667439</v>
      </c>
      <c r="G72" s="65">
        <f t="shared" si="10"/>
        <v>675631</v>
      </c>
      <c r="H72" s="65">
        <f t="shared" si="10"/>
        <v>670861</v>
      </c>
      <c r="I72" s="65">
        <f t="shared" si="10"/>
        <v>1026589</v>
      </c>
      <c r="J72" s="65">
        <f t="shared" si="10"/>
        <v>966787</v>
      </c>
      <c r="K72" s="65">
        <f t="shared" si="10"/>
        <v>924473</v>
      </c>
      <c r="L72" s="65">
        <f t="shared" si="10"/>
        <v>1206063</v>
      </c>
      <c r="M72" s="65">
        <f t="shared" si="10"/>
        <v>1218866</v>
      </c>
      <c r="N72" s="65">
        <f t="shared" si="10"/>
        <v>1654061</v>
      </c>
      <c r="O72" s="65">
        <f t="shared" si="10"/>
        <v>1689875</v>
      </c>
      <c r="P72" s="65">
        <f t="shared" si="10"/>
        <v>2073296</v>
      </c>
      <c r="Q72" s="65">
        <f t="shared" si="10"/>
        <v>2044537</v>
      </c>
      <c r="R72" s="65">
        <f t="shared" si="10"/>
        <v>2099356</v>
      </c>
      <c r="S72" s="65">
        <f t="shared" si="10"/>
        <v>2239121</v>
      </c>
      <c r="T72" s="65">
        <f t="shared" si="10"/>
        <v>2262344</v>
      </c>
      <c r="U72" s="65">
        <v>2296704</v>
      </c>
      <c r="V72" s="65">
        <f t="shared" si="10"/>
        <v>2458471</v>
      </c>
      <c r="W72" s="65">
        <f t="shared" si="10"/>
        <v>3325011</v>
      </c>
      <c r="X72" s="65">
        <f>X59+X57</f>
        <v>3334198</v>
      </c>
      <c r="Y72" s="65">
        <f>Y59+Y57</f>
        <v>3387080</v>
      </c>
      <c r="Z72" s="65">
        <f>Z59+Z57</f>
        <v>4045501</v>
      </c>
      <c r="AA72" s="65">
        <f>AA59+AA57</f>
        <v>4224165</v>
      </c>
      <c r="AB72" s="65">
        <f>AB59+AB57</f>
        <v>4293945</v>
      </c>
      <c r="AC72" s="17">
        <v>4446961</v>
      </c>
    </row>
    <row r="73" spans="1:29" x14ac:dyDescent="0.3">
      <c r="D73" s="34"/>
    </row>
    <row r="74" spans="1:29" x14ac:dyDescent="0.3">
      <c r="B74" s="24" t="s">
        <v>262</v>
      </c>
      <c r="C74" s="24" t="s">
        <v>262</v>
      </c>
      <c r="D74" s="32" t="b">
        <f t="shared" ref="D74:W74" si="11">D72=D29</f>
        <v>1</v>
      </c>
      <c r="E74" s="32" t="b">
        <f t="shared" si="11"/>
        <v>1</v>
      </c>
      <c r="F74" s="32" t="b">
        <f t="shared" si="11"/>
        <v>1</v>
      </c>
      <c r="G74" s="32" t="b">
        <f t="shared" si="11"/>
        <v>1</v>
      </c>
      <c r="H74" s="32" t="b">
        <f t="shared" si="11"/>
        <v>1</v>
      </c>
      <c r="I74" s="32" t="b">
        <f t="shared" si="11"/>
        <v>1</v>
      </c>
      <c r="J74" s="32" t="b">
        <f t="shared" si="11"/>
        <v>1</v>
      </c>
      <c r="K74" s="32" t="b">
        <f t="shared" si="11"/>
        <v>1</v>
      </c>
      <c r="L74" s="32" t="b">
        <f t="shared" si="11"/>
        <v>1</v>
      </c>
      <c r="M74" s="32" t="b">
        <f t="shared" si="11"/>
        <v>1</v>
      </c>
      <c r="N74" s="32" t="b">
        <f t="shared" si="11"/>
        <v>1</v>
      </c>
      <c r="O74" s="32" t="b">
        <f t="shared" si="11"/>
        <v>1</v>
      </c>
      <c r="P74" s="32" t="b">
        <f t="shared" si="11"/>
        <v>1</v>
      </c>
      <c r="Q74" s="32" t="b">
        <f t="shared" si="11"/>
        <v>1</v>
      </c>
      <c r="R74" s="32" t="b">
        <f t="shared" si="11"/>
        <v>1</v>
      </c>
      <c r="S74" s="32" t="b">
        <f t="shared" si="11"/>
        <v>1</v>
      </c>
      <c r="T74" s="32" t="b">
        <f t="shared" si="11"/>
        <v>1</v>
      </c>
      <c r="U74" s="32" t="b">
        <f t="shared" si="11"/>
        <v>1</v>
      </c>
      <c r="V74" s="32" t="b">
        <f t="shared" si="11"/>
        <v>1</v>
      </c>
      <c r="W74" s="32" t="b">
        <f t="shared" si="11"/>
        <v>1</v>
      </c>
      <c r="X74" s="32" t="b">
        <f>X72=X29</f>
        <v>1</v>
      </c>
      <c r="Y74" s="32" t="b">
        <f>Y72=Y29</f>
        <v>1</v>
      </c>
      <c r="Z74" s="32" t="b">
        <f>Z72=Z29</f>
        <v>1</v>
      </c>
      <c r="AA74" s="32" t="b">
        <f>AA72=AA29</f>
        <v>1</v>
      </c>
      <c r="AB74" s="32" t="b">
        <f>AB72=AB29</f>
        <v>1</v>
      </c>
      <c r="AC74" s="32" t="b">
        <v>1</v>
      </c>
    </row>
    <row r="75" spans="1:29" x14ac:dyDescent="0.3">
      <c r="B75" s="24"/>
    </row>
    <row r="76" spans="1:29" x14ac:dyDescent="0.3">
      <c r="B76" s="24" t="s">
        <v>269</v>
      </c>
      <c r="D76" s="32">
        <f>D33+D46</f>
        <v>447379</v>
      </c>
      <c r="H76" s="32">
        <f>H33+H46</f>
        <v>325658</v>
      </c>
      <c r="L76" s="32">
        <f>L33+L46</f>
        <v>556276</v>
      </c>
      <c r="P76" s="32">
        <f>P33+P46</f>
        <v>1015154</v>
      </c>
      <c r="T76" s="32">
        <f>T33+T46</f>
        <v>1125389</v>
      </c>
      <c r="X76" s="32">
        <f>X33+X46</f>
        <v>1867298</v>
      </c>
      <c r="Y76" s="32">
        <f>Y33+Y46</f>
        <v>1929291</v>
      </c>
      <c r="Z76" s="32">
        <f>Z33+Z46</f>
        <v>1902227</v>
      </c>
      <c r="AA76" s="32">
        <f>AA33+AA46</f>
        <v>2106730</v>
      </c>
      <c r="AB76" s="32">
        <f>AB33+AB46</f>
        <v>2122412</v>
      </c>
      <c r="AC76" s="32">
        <v>2240539</v>
      </c>
    </row>
    <row r="77" spans="1:29" x14ac:dyDescent="0.3">
      <c r="B77" s="24" t="s">
        <v>268</v>
      </c>
      <c r="D77" s="32">
        <f>D34</f>
        <v>4633</v>
      </c>
      <c r="H77" s="32">
        <f>H34</f>
        <v>5493</v>
      </c>
      <c r="L77" s="32">
        <f>L34</f>
        <v>9526</v>
      </c>
      <c r="P77" s="32">
        <f>P34</f>
        <v>15211</v>
      </c>
      <c r="T77" s="32">
        <f>T34</f>
        <v>29057</v>
      </c>
      <c r="X77" s="32">
        <f>X34</f>
        <v>45319</v>
      </c>
      <c r="Y77" s="32">
        <f>Y34</f>
        <v>44844</v>
      </c>
      <c r="Z77" s="32">
        <f>Z34</f>
        <v>39655</v>
      </c>
      <c r="AA77" s="32">
        <f>AA34</f>
        <v>37700</v>
      </c>
      <c r="AB77" s="32">
        <f>AB34</f>
        <v>49243</v>
      </c>
      <c r="AC77" s="32">
        <v>44186</v>
      </c>
    </row>
    <row r="78" spans="1:29" x14ac:dyDescent="0.3">
      <c r="B78" s="24" t="s">
        <v>267</v>
      </c>
      <c r="D78" s="32">
        <f>D47</f>
        <v>7530</v>
      </c>
      <c r="H78" s="32">
        <f>H47</f>
        <v>6226</v>
      </c>
      <c r="L78" s="32">
        <f>L47</f>
        <v>11431</v>
      </c>
      <c r="P78" s="32">
        <f>P47</f>
        <v>40800</v>
      </c>
      <c r="T78" s="32">
        <f>T47</f>
        <v>23329</v>
      </c>
      <c r="X78" s="32">
        <f>X47</f>
        <v>62382</v>
      </c>
      <c r="Y78" s="32">
        <f>Y47</f>
        <v>64059</v>
      </c>
      <c r="Z78" s="32">
        <f>Z47</f>
        <v>48686</v>
      </c>
      <c r="AA78" s="32">
        <f>AA47</f>
        <v>42207</v>
      </c>
      <c r="AB78" s="32">
        <f>AB47</f>
        <v>54834</v>
      </c>
      <c r="AC78" s="32">
        <v>48425</v>
      </c>
    </row>
    <row r="79" spans="1:29" x14ac:dyDescent="0.3">
      <c r="B79" s="24" t="s">
        <v>266</v>
      </c>
      <c r="D79" s="32">
        <f>D8+D9+D18</f>
        <v>13843</v>
      </c>
      <c r="H79" s="32">
        <f>H8+H9+H18</f>
        <v>24690</v>
      </c>
      <c r="L79" s="32">
        <f>L8+L9+L18</f>
        <v>410416</v>
      </c>
      <c r="P79" s="32">
        <f>P8+P9+P18</f>
        <v>240797</v>
      </c>
      <c r="T79" s="32">
        <f>T8+T9+T18</f>
        <v>323034</v>
      </c>
      <c r="X79" s="32">
        <f>X8+X9+X18</f>
        <v>644225</v>
      </c>
      <c r="Y79" s="32">
        <f>Y8+Y9+Y18</f>
        <v>584907</v>
      </c>
      <c r="Z79" s="32">
        <f>Z8+Z9+Z18</f>
        <v>1049702</v>
      </c>
      <c r="AA79" s="32">
        <f>AA8+AA9+AA18</f>
        <v>1088573</v>
      </c>
      <c r="AB79" s="32">
        <f>AB8+AB9+AB18</f>
        <v>922369</v>
      </c>
      <c r="AC79" s="32">
        <v>879298</v>
      </c>
    </row>
    <row r="80" spans="1:29" x14ac:dyDescent="0.3">
      <c r="B80" s="24" t="s">
        <v>265</v>
      </c>
      <c r="D80" s="32">
        <v>12200</v>
      </c>
      <c r="H80" s="32">
        <v>11700</v>
      </c>
      <c r="L80" s="32">
        <v>20957</v>
      </c>
      <c r="P80" s="32">
        <v>67904</v>
      </c>
      <c r="T80" s="32">
        <v>49709</v>
      </c>
      <c r="X80" s="32">
        <v>9909</v>
      </c>
      <c r="Y80" s="32">
        <v>2953</v>
      </c>
      <c r="Z80" s="32">
        <v>3115</v>
      </c>
      <c r="AA80" s="32">
        <v>3153</v>
      </c>
      <c r="AB80" s="32">
        <f>[1]DÍVIDA!$C$21</f>
        <v>2647</v>
      </c>
      <c r="AC80" s="32">
        <v>1417</v>
      </c>
    </row>
    <row r="81" spans="2:29" x14ac:dyDescent="0.3">
      <c r="B81" s="24" t="s">
        <v>263</v>
      </c>
      <c r="D81" s="32">
        <f>D76+D77+D78-D79</f>
        <v>445699</v>
      </c>
      <c r="H81" s="32">
        <f>H76+H77+H78-H79</f>
        <v>312687</v>
      </c>
      <c r="L81" s="32">
        <f>L76+L77+L78-L79</f>
        <v>166817</v>
      </c>
      <c r="P81" s="32">
        <f>P76+P77+P78-P79</f>
        <v>830368</v>
      </c>
      <c r="T81" s="32">
        <f>T76+T77+T78-T79</f>
        <v>854741</v>
      </c>
      <c r="X81" s="32">
        <f>X76+X77+X78-X79</f>
        <v>1330774</v>
      </c>
      <c r="Y81" s="32">
        <f>Y76+Y77+Y78-Y79</f>
        <v>1453287</v>
      </c>
      <c r="Z81" s="32">
        <f>Z76+Z77+Z78-Z79</f>
        <v>940866</v>
      </c>
      <c r="AA81" s="32">
        <f>AA76+AA77+AA78-AA79</f>
        <v>1098064</v>
      </c>
      <c r="AB81" s="32">
        <f>AB76+AB77+AB78-AB79</f>
        <v>1304120</v>
      </c>
      <c r="AC81" s="32">
        <v>1453852</v>
      </c>
    </row>
    <row r="82" spans="2:29" x14ac:dyDescent="0.3">
      <c r="B82" s="24" t="s">
        <v>264</v>
      </c>
      <c r="D82" s="32">
        <f>D76+D80-D79</f>
        <v>445736</v>
      </c>
      <c r="H82" s="32">
        <f>H76+H80-H79</f>
        <v>312668</v>
      </c>
      <c r="L82" s="32">
        <f>L76+L80-L79</f>
        <v>166817</v>
      </c>
      <c r="P82" s="32">
        <f>P76+P80-P79</f>
        <v>842261</v>
      </c>
      <c r="T82" s="32">
        <f>T76+T80-T79</f>
        <v>852064</v>
      </c>
      <c r="X82" s="32">
        <f>X76+X80-X79</f>
        <v>1232982</v>
      </c>
      <c r="Y82" s="32">
        <f>Y76+Y80-Y79</f>
        <v>1347337</v>
      </c>
      <c r="Z82" s="32">
        <f>Z76+Z80-Z79</f>
        <v>855640</v>
      </c>
      <c r="AA82" s="32">
        <f>AA76+AA80-AA79</f>
        <v>1021310</v>
      </c>
      <c r="AB82" s="32">
        <f>AB76+AB80-AB79</f>
        <v>1202690</v>
      </c>
      <c r="AC82" s="32">
        <v>1362658</v>
      </c>
    </row>
    <row r="83" spans="2:29" x14ac:dyDescent="0.3">
      <c r="B83" s="24" t="s">
        <v>320</v>
      </c>
      <c r="D83" s="32">
        <f>IS!D57</f>
        <v>32344</v>
      </c>
      <c r="H83" s="32">
        <f>IS!H57</f>
        <v>48096</v>
      </c>
      <c r="L83" s="32">
        <f>IS!N57</f>
        <v>133077</v>
      </c>
      <c r="P83" s="32">
        <f>IS!S57</f>
        <v>198022</v>
      </c>
      <c r="T83" s="32">
        <f>IS!X57</f>
        <v>357243</v>
      </c>
      <c r="X83" s="32">
        <f>IS!AC57</f>
        <v>433597.38075000129</v>
      </c>
      <c r="Y83" s="32">
        <f>+IS!AD57+IS!AB57+IS!AA57+IS!Z57</f>
        <v>439219.38075000129</v>
      </c>
      <c r="Z83" s="32">
        <f>+IS!AE57+IS!AD57+IS!AB57+IS!AA57</f>
        <v>465088.10015000001</v>
      </c>
      <c r="AA83" s="32">
        <f>+IS!AF57+IS!AE57+IS!AD57+IS!AB57</f>
        <v>463544.10015000001</v>
      </c>
      <c r="AB83" s="32">
        <f>SUM(IS!AD57:AG57)</f>
        <v>500441.59559000097</v>
      </c>
      <c r="AC83" s="32">
        <v>533912.59559000097</v>
      </c>
    </row>
    <row r="84" spans="2:29" x14ac:dyDescent="0.3">
      <c r="B84" s="24" t="s">
        <v>270</v>
      </c>
      <c r="D84" s="32">
        <f>IS!D59</f>
        <v>100701</v>
      </c>
      <c r="H84" s="32">
        <f>IS!H59</f>
        <v>48096</v>
      </c>
      <c r="L84" s="32">
        <f>IS!N59</f>
        <v>177416</v>
      </c>
      <c r="P84" s="32">
        <f>IS!S59</f>
        <v>212330</v>
      </c>
      <c r="T84" s="32">
        <f>IS!X59</f>
        <v>313628</v>
      </c>
      <c r="X84" s="32">
        <f>IS!AC59</f>
        <v>433597.38075000129</v>
      </c>
      <c r="Y84" s="32">
        <f>+IS!AD59+IS!AB59+IS!AA59+IS!Z59</f>
        <v>439219.38075000129</v>
      </c>
      <c r="Z84" s="32">
        <f>+IS!AE59+IS!AD59+IS!AB59+IS!AA59</f>
        <v>465088.10015000001</v>
      </c>
      <c r="AA84" s="32">
        <f>+IS!AF59+IS!AE59+IS!AD59+IS!AB59</f>
        <v>463544.10015000001</v>
      </c>
      <c r="AB84" s="32">
        <f>SUM(IS!AD59:AG59)</f>
        <v>500441.59559000097</v>
      </c>
      <c r="AC84" s="32">
        <v>533912.59559000097</v>
      </c>
    </row>
    <row r="85" spans="2:29" x14ac:dyDescent="0.3">
      <c r="B85" s="24" t="s">
        <v>321</v>
      </c>
      <c r="D85" s="74">
        <f>D81/D83</f>
        <v>13.779959188721246</v>
      </c>
      <c r="E85" s="74"/>
      <c r="F85" s="74"/>
      <c r="G85" s="74"/>
      <c r="H85" s="74">
        <f>H81/H83</f>
        <v>6.5013098802395213</v>
      </c>
      <c r="I85" s="74"/>
      <c r="J85" s="74"/>
      <c r="K85" s="74"/>
      <c r="L85" s="74">
        <f>L81/L83</f>
        <v>1.25353742570091</v>
      </c>
      <c r="M85" s="74"/>
      <c r="N85" s="74"/>
      <c r="O85" s="74"/>
      <c r="P85" s="74">
        <f>P81/P83</f>
        <v>4.1933118542384182</v>
      </c>
      <c r="Q85" s="74"/>
      <c r="R85" s="74"/>
      <c r="S85" s="74"/>
      <c r="T85" s="74">
        <f>T81/T83</f>
        <v>2.392603913862553</v>
      </c>
      <c r="U85" s="74"/>
      <c r="V85" s="74"/>
      <c r="W85" s="74"/>
      <c r="X85" s="74">
        <f>X81/X83</f>
        <v>3.069146768594718</v>
      </c>
      <c r="Y85" s="74">
        <f>Y81/Y83</f>
        <v>3.3087952483298877</v>
      </c>
      <c r="Z85" s="74">
        <f>Z81/Z83</f>
        <v>2.0229844618612094</v>
      </c>
      <c r="AA85" s="74">
        <f>AA81/AA83</f>
        <v>2.3688447326687436</v>
      </c>
      <c r="AB85" s="74">
        <f>AB81/AB83</f>
        <v>2.6059384581381444</v>
      </c>
      <c r="AC85" s="32">
        <v>2.7230149878622334</v>
      </c>
    </row>
    <row r="86" spans="2:29" x14ac:dyDescent="0.3">
      <c r="B86" s="24" t="s">
        <v>271</v>
      </c>
      <c r="D86" s="74">
        <f>D81/D84</f>
        <v>4.4259639924131839</v>
      </c>
      <c r="E86" s="74"/>
      <c r="F86" s="74"/>
      <c r="G86" s="74"/>
      <c r="H86" s="74">
        <f>H81/H84</f>
        <v>6.5013098802395213</v>
      </c>
      <c r="I86" s="74"/>
      <c r="J86" s="74"/>
      <c r="K86" s="74"/>
      <c r="L86" s="74">
        <f>L81/L84</f>
        <v>0.94025905217116834</v>
      </c>
      <c r="M86" s="74"/>
      <c r="N86" s="74"/>
      <c r="O86" s="74"/>
      <c r="P86" s="74">
        <f>P81/P84</f>
        <v>3.9107427118165119</v>
      </c>
      <c r="Q86" s="74"/>
      <c r="R86" s="74"/>
      <c r="S86" s="74"/>
      <c r="T86" s="74">
        <f>T81/T84</f>
        <v>2.7253338349892231</v>
      </c>
      <c r="U86" s="74"/>
      <c r="V86" s="74"/>
      <c r="W86" s="74"/>
      <c r="X86" s="74">
        <f>X81/X84</f>
        <v>3.069146768594718</v>
      </c>
      <c r="Y86" s="74">
        <f>Y81/Y84</f>
        <v>3.3087952483298877</v>
      </c>
      <c r="Z86" s="74">
        <f>Z81/Z84</f>
        <v>2.0229844618612094</v>
      </c>
      <c r="AA86" s="74">
        <f>AA81/AA84</f>
        <v>2.3688447326687436</v>
      </c>
      <c r="AB86" s="74">
        <f>AB81/AB84</f>
        <v>2.6059384581381444</v>
      </c>
      <c r="AC86" s="32">
        <v>2.7230149878622334</v>
      </c>
    </row>
    <row r="87" spans="2:29" x14ac:dyDescent="0.3">
      <c r="B87" s="24" t="s">
        <v>322</v>
      </c>
      <c r="D87" s="74">
        <f>D82/D83</f>
        <v>13.781103141231759</v>
      </c>
      <c r="E87" s="74"/>
      <c r="F87" s="74"/>
      <c r="G87" s="74"/>
      <c r="H87" s="74">
        <f>H82/H83</f>
        <v>6.5009148369926812</v>
      </c>
      <c r="I87" s="74"/>
      <c r="J87" s="74"/>
      <c r="K87" s="74"/>
      <c r="L87" s="74">
        <f>L82/L83</f>
        <v>1.25353742570091</v>
      </c>
      <c r="M87" s="74"/>
      <c r="N87" s="74"/>
      <c r="O87" s="74"/>
      <c r="P87" s="74">
        <f>P82/P83</f>
        <v>4.2533708375837032</v>
      </c>
      <c r="Q87" s="74"/>
      <c r="R87" s="74"/>
      <c r="S87" s="74"/>
      <c r="T87" s="74">
        <f>T82/T83</f>
        <v>2.3851104150396227</v>
      </c>
      <c r="U87" s="74"/>
      <c r="V87" s="74"/>
      <c r="W87" s="74"/>
      <c r="X87" s="74">
        <f>X82/X83</f>
        <v>2.8436103508450365</v>
      </c>
      <c r="Y87" s="74">
        <f>Y82/Y83</f>
        <v>3.0675718309590918</v>
      </c>
      <c r="Z87" s="74">
        <f>Z82/Z83</f>
        <v>1.8397374599006926</v>
      </c>
      <c r="AA87" s="74">
        <f>AA82/AA83</f>
        <v>2.2032639390071203</v>
      </c>
      <c r="AB87" s="74">
        <f>AB82/AB83</f>
        <v>2.4032574642043407</v>
      </c>
      <c r="AC87" s="32">
        <v>2.5522117501165011</v>
      </c>
    </row>
    <row r="88" spans="2:29" x14ac:dyDescent="0.3">
      <c r="B88" s="24" t="s">
        <v>272</v>
      </c>
      <c r="D88" s="74">
        <f>D82/D84</f>
        <v>4.4263314167684529</v>
      </c>
      <c r="E88" s="74"/>
      <c r="F88" s="74"/>
      <c r="G88" s="74"/>
      <c r="H88" s="74">
        <f>H82/H84</f>
        <v>6.5009148369926812</v>
      </c>
      <c r="I88" s="74"/>
      <c r="J88" s="74"/>
      <c r="K88" s="74"/>
      <c r="L88" s="74">
        <f>L82/L84</f>
        <v>0.94025905217116834</v>
      </c>
      <c r="M88" s="74"/>
      <c r="N88" s="74"/>
      <c r="O88" s="74"/>
      <c r="P88" s="74">
        <f>P82/P84</f>
        <v>3.9667545801346962</v>
      </c>
      <c r="Q88" s="74"/>
      <c r="R88" s="74"/>
      <c r="S88" s="74"/>
      <c r="T88" s="74">
        <f>T82/T84</f>
        <v>2.7167982450546506</v>
      </c>
      <c r="U88" s="74"/>
      <c r="V88" s="74"/>
      <c r="W88" s="74"/>
      <c r="X88" s="74">
        <f>X82/X84</f>
        <v>2.8436103508450365</v>
      </c>
      <c r="Y88" s="74">
        <f>Y82/Y84</f>
        <v>3.0675718309590918</v>
      </c>
      <c r="Z88" s="74">
        <f>Z82/Z84</f>
        <v>1.8397374599006926</v>
      </c>
      <c r="AA88" s="74">
        <f>AA82/AA84</f>
        <v>2.2032639390071203</v>
      </c>
      <c r="AB88" s="74">
        <f>AB82/AB84</f>
        <v>2.4032574642043407</v>
      </c>
      <c r="AC88" s="32">
        <v>2.5522117501165011</v>
      </c>
    </row>
    <row r="89" spans="2:29" x14ac:dyDescent="0.3">
      <c r="B89" s="24"/>
    </row>
    <row r="90" spans="2:29" x14ac:dyDescent="0.3">
      <c r="B90" s="24"/>
    </row>
    <row r="91" spans="2:29" x14ac:dyDescent="0.3">
      <c r="B91" s="5" t="s">
        <v>334</v>
      </c>
      <c r="C91" s="164"/>
      <c r="D91" s="162">
        <v>2019</v>
      </c>
      <c r="E91" s="81">
        <v>2020</v>
      </c>
      <c r="F91" s="81">
        <v>2021</v>
      </c>
      <c r="G91" s="81">
        <v>2022</v>
      </c>
      <c r="H91" s="81">
        <v>2023</v>
      </c>
      <c r="I91" s="81">
        <v>2024</v>
      </c>
    </row>
    <row r="92" spans="2:29" x14ac:dyDescent="0.3">
      <c r="B92" s="75" t="str">
        <f t="shared" ref="B92:B104" si="12">B76</f>
        <v>(1) Dívida Bruta</v>
      </c>
      <c r="C92" s="163" t="str">
        <f t="shared" ref="C92:C101" si="13">B92</f>
        <v>(1) Dívida Bruta</v>
      </c>
      <c r="D92" s="77">
        <f t="shared" ref="D92:D104" si="14">D76</f>
        <v>447379</v>
      </c>
      <c r="E92" s="77">
        <f t="shared" ref="E92:E104" si="15">H76</f>
        <v>325658</v>
      </c>
      <c r="F92" s="77">
        <f t="shared" ref="F92:F104" si="16">L76</f>
        <v>556276</v>
      </c>
      <c r="G92" s="77">
        <f t="shared" ref="G92:G104" si="17">P76</f>
        <v>1015154</v>
      </c>
      <c r="H92" s="77">
        <f t="shared" ref="H92:H104" si="18">T76</f>
        <v>1125389</v>
      </c>
      <c r="I92" s="77">
        <f t="shared" ref="I92:I104" si="19">X76</f>
        <v>1867298</v>
      </c>
    </row>
    <row r="93" spans="2:29" x14ac:dyDescent="0.3">
      <c r="B93" s="78" t="str">
        <f t="shared" si="12"/>
        <v>(2.a) Arendamentos - circulante</v>
      </c>
      <c r="C93" s="76" t="str">
        <f t="shared" si="13"/>
        <v>(2.a) Arendamentos - circulante</v>
      </c>
      <c r="D93" s="77">
        <f t="shared" si="14"/>
        <v>4633</v>
      </c>
      <c r="E93" s="77">
        <f t="shared" si="15"/>
        <v>5493</v>
      </c>
      <c r="F93" s="77">
        <f t="shared" si="16"/>
        <v>9526</v>
      </c>
      <c r="G93" s="77">
        <f t="shared" si="17"/>
        <v>15211</v>
      </c>
      <c r="H93" s="77">
        <f t="shared" si="18"/>
        <v>29057</v>
      </c>
      <c r="I93" s="77">
        <f t="shared" si="19"/>
        <v>45319</v>
      </c>
    </row>
    <row r="94" spans="2:29" x14ac:dyDescent="0.3">
      <c r="B94" s="78" t="str">
        <f t="shared" si="12"/>
        <v>(2.b) Arendamentos - não circulante</v>
      </c>
      <c r="C94" s="76" t="str">
        <f t="shared" si="13"/>
        <v>(2.b) Arendamentos - não circulante</v>
      </c>
      <c r="D94" s="77">
        <f t="shared" si="14"/>
        <v>7530</v>
      </c>
      <c r="E94" s="77">
        <f t="shared" si="15"/>
        <v>6226</v>
      </c>
      <c r="F94" s="77">
        <f t="shared" si="16"/>
        <v>11431</v>
      </c>
      <c r="G94" s="77">
        <f t="shared" si="17"/>
        <v>40800</v>
      </c>
      <c r="H94" s="77">
        <f t="shared" si="18"/>
        <v>23329</v>
      </c>
      <c r="I94" s="77">
        <f t="shared" si="19"/>
        <v>62382</v>
      </c>
    </row>
    <row r="95" spans="2:29" x14ac:dyDescent="0.3">
      <c r="B95" s="78" t="str">
        <f t="shared" si="12"/>
        <v>(3) Caixa e equivalentes</v>
      </c>
      <c r="C95" s="76" t="str">
        <f>B95</f>
        <v>(3) Caixa e equivalentes</v>
      </c>
      <c r="D95" s="77">
        <f t="shared" si="14"/>
        <v>13843</v>
      </c>
      <c r="E95" s="77">
        <f t="shared" si="15"/>
        <v>24690</v>
      </c>
      <c r="F95" s="77">
        <f t="shared" si="16"/>
        <v>410416</v>
      </c>
      <c r="G95" s="77">
        <f t="shared" si="17"/>
        <v>240797</v>
      </c>
      <c r="H95" s="77">
        <f t="shared" si="18"/>
        <v>323034</v>
      </c>
      <c r="I95" s="77">
        <f t="shared" si="19"/>
        <v>644225</v>
      </c>
    </row>
    <row r="96" spans="2:29" x14ac:dyDescent="0.3">
      <c r="B96" s="78" t="str">
        <f t="shared" si="12"/>
        <v>(4) Aquisições a pagar (CP+LP)</v>
      </c>
      <c r="C96" s="76" t="str">
        <f>B96</f>
        <v>(4) Aquisições a pagar (CP+LP)</v>
      </c>
      <c r="D96" s="77">
        <f t="shared" si="14"/>
        <v>12200</v>
      </c>
      <c r="E96" s="77">
        <f t="shared" si="15"/>
        <v>11700</v>
      </c>
      <c r="F96" s="77">
        <f t="shared" si="16"/>
        <v>20957</v>
      </c>
      <c r="G96" s="77">
        <f t="shared" si="17"/>
        <v>67904</v>
      </c>
      <c r="H96" s="77">
        <f t="shared" si="18"/>
        <v>49709</v>
      </c>
      <c r="I96" s="77">
        <f t="shared" si="19"/>
        <v>9909</v>
      </c>
    </row>
    <row r="97" spans="2:9" x14ac:dyDescent="0.3">
      <c r="B97" s="78" t="str">
        <f t="shared" si="12"/>
        <v>(5) Dívida Líquida IFRS sem aquisições: (1)+(2.a)+(2.b)-(3)</v>
      </c>
      <c r="C97" s="76" t="str">
        <f>B97</f>
        <v>(5) Dívida Líquida IFRS sem aquisições: (1)+(2.a)+(2.b)-(3)</v>
      </c>
      <c r="D97" s="77">
        <f t="shared" si="14"/>
        <v>445699</v>
      </c>
      <c r="E97" s="77">
        <f t="shared" si="15"/>
        <v>312687</v>
      </c>
      <c r="F97" s="77">
        <f t="shared" si="16"/>
        <v>166817</v>
      </c>
      <c r="G97" s="77">
        <f t="shared" si="17"/>
        <v>830368</v>
      </c>
      <c r="H97" s="77">
        <f t="shared" si="18"/>
        <v>854741</v>
      </c>
      <c r="I97" s="77">
        <f t="shared" si="19"/>
        <v>1330774</v>
      </c>
    </row>
    <row r="98" spans="2:9" x14ac:dyDescent="0.3">
      <c r="B98" s="78" t="str">
        <f t="shared" si="12"/>
        <v>(6) Dívida Líquida BRGAAP com aquisições: (1)+(4)-(3)</v>
      </c>
      <c r="C98" s="76" t="str">
        <f>B98</f>
        <v>(6) Dívida Líquida BRGAAP com aquisições: (1)+(4)-(3)</v>
      </c>
      <c r="D98" s="77">
        <f t="shared" si="14"/>
        <v>445736</v>
      </c>
      <c r="E98" s="77">
        <f t="shared" si="15"/>
        <v>312668</v>
      </c>
      <c r="F98" s="77">
        <f t="shared" si="16"/>
        <v>166817</v>
      </c>
      <c r="G98" s="77">
        <f t="shared" si="17"/>
        <v>842261</v>
      </c>
      <c r="H98" s="77">
        <f t="shared" si="18"/>
        <v>852064</v>
      </c>
      <c r="I98" s="77">
        <f t="shared" si="19"/>
        <v>1232982</v>
      </c>
    </row>
    <row r="99" spans="2:9" x14ac:dyDescent="0.3">
      <c r="B99" s="78" t="str">
        <f t="shared" si="12"/>
        <v>(7) EBITDA LTM</v>
      </c>
      <c r="C99" s="76" t="str">
        <f t="shared" si="13"/>
        <v>(7) EBITDA LTM</v>
      </c>
      <c r="D99" s="77">
        <f t="shared" si="14"/>
        <v>32344</v>
      </c>
      <c r="E99" s="77">
        <f t="shared" si="15"/>
        <v>48096</v>
      </c>
      <c r="F99" s="77">
        <f t="shared" si="16"/>
        <v>133077</v>
      </c>
      <c r="G99" s="77">
        <f t="shared" si="17"/>
        <v>198022</v>
      </c>
      <c r="H99" s="77">
        <f t="shared" si="18"/>
        <v>357243</v>
      </c>
      <c r="I99" s="77">
        <f t="shared" si="19"/>
        <v>433597.38075000129</v>
      </c>
    </row>
    <row r="100" spans="2:9" x14ac:dyDescent="0.3">
      <c r="B100" s="78" t="str">
        <f t="shared" si="12"/>
        <v>(8) EBITDA Ajustado LTM</v>
      </c>
      <c r="C100" s="76" t="str">
        <f t="shared" si="13"/>
        <v>(8) EBITDA Ajustado LTM</v>
      </c>
      <c r="D100" s="77">
        <f t="shared" si="14"/>
        <v>100701</v>
      </c>
      <c r="E100" s="77">
        <f t="shared" si="15"/>
        <v>48096</v>
      </c>
      <c r="F100" s="77">
        <f t="shared" si="16"/>
        <v>177416</v>
      </c>
      <c r="G100" s="77">
        <f t="shared" si="17"/>
        <v>212330</v>
      </c>
      <c r="H100" s="77">
        <f t="shared" si="18"/>
        <v>313628</v>
      </c>
      <c r="I100" s="77">
        <f t="shared" si="19"/>
        <v>433597.38075000129</v>
      </c>
    </row>
    <row r="101" spans="2:9" x14ac:dyDescent="0.3">
      <c r="B101" s="78" t="str">
        <f t="shared" si="12"/>
        <v>Dívida Líquida / EBITDA LTM - com arrendamentos: (5)/(7)</v>
      </c>
      <c r="C101" s="79" t="str">
        <f t="shared" si="13"/>
        <v>Dívida Líquida / EBITDA LTM - com arrendamentos: (5)/(7)</v>
      </c>
      <c r="D101" s="80">
        <f t="shared" si="14"/>
        <v>13.779959188721246</v>
      </c>
      <c r="E101" s="80">
        <f t="shared" si="15"/>
        <v>6.5013098802395213</v>
      </c>
      <c r="F101" s="80">
        <f t="shared" si="16"/>
        <v>1.25353742570091</v>
      </c>
      <c r="G101" s="80">
        <f t="shared" si="17"/>
        <v>4.1933118542384182</v>
      </c>
      <c r="H101" s="80">
        <f t="shared" si="18"/>
        <v>2.392603913862553</v>
      </c>
      <c r="I101" s="80">
        <f t="shared" si="19"/>
        <v>3.069146768594718</v>
      </c>
    </row>
    <row r="102" spans="2:9" x14ac:dyDescent="0.3">
      <c r="B102" s="78" t="str">
        <f t="shared" si="12"/>
        <v>Dívida Líquida / EBITDA Ajustado LTM - com arrendamentos: (5)/(8)</v>
      </c>
      <c r="C102" s="79" t="str">
        <f>B102</f>
        <v>Dívida Líquida / EBITDA Ajustado LTM - com arrendamentos: (5)/(8)</v>
      </c>
      <c r="D102" s="80">
        <f t="shared" si="14"/>
        <v>4.4259639924131839</v>
      </c>
      <c r="E102" s="80">
        <f t="shared" si="15"/>
        <v>6.5013098802395213</v>
      </c>
      <c r="F102" s="80">
        <f t="shared" si="16"/>
        <v>0.94025905217116834</v>
      </c>
      <c r="G102" s="80">
        <f t="shared" si="17"/>
        <v>3.9107427118165119</v>
      </c>
      <c r="H102" s="80">
        <f t="shared" si="18"/>
        <v>2.7253338349892231</v>
      </c>
      <c r="I102" s="80">
        <f t="shared" si="19"/>
        <v>3.069146768594718</v>
      </c>
    </row>
    <row r="103" spans="2:9" x14ac:dyDescent="0.3">
      <c r="B103" s="78" t="str">
        <f t="shared" si="12"/>
        <v>Dívida Líquida BRGAAP / EBITDA LTM - com aquisições: (6)/(7)</v>
      </c>
      <c r="C103" s="79" t="str">
        <f>B103</f>
        <v>Dívida Líquida BRGAAP / EBITDA LTM - com aquisições: (6)/(7)</v>
      </c>
      <c r="D103" s="80">
        <f t="shared" si="14"/>
        <v>13.781103141231759</v>
      </c>
      <c r="E103" s="80">
        <f t="shared" si="15"/>
        <v>6.5009148369926812</v>
      </c>
      <c r="F103" s="80">
        <f t="shared" si="16"/>
        <v>1.25353742570091</v>
      </c>
      <c r="G103" s="80">
        <f t="shared" si="17"/>
        <v>4.2533708375837032</v>
      </c>
      <c r="H103" s="80">
        <f t="shared" si="18"/>
        <v>2.3851104150396227</v>
      </c>
      <c r="I103" s="80">
        <f t="shared" si="19"/>
        <v>2.8436103508450365</v>
      </c>
    </row>
    <row r="104" spans="2:9" x14ac:dyDescent="0.3">
      <c r="B104" s="78" t="str">
        <f t="shared" si="12"/>
        <v>Dívida Líquida BRGAAP / EBITDA Ajustado LTM - com aquisições: (6)/(8)</v>
      </c>
      <c r="C104" s="79" t="str">
        <f>B104</f>
        <v>Dívida Líquida BRGAAP / EBITDA Ajustado LTM - com aquisições: (6)/(8)</v>
      </c>
      <c r="D104" s="80">
        <f t="shared" si="14"/>
        <v>4.4263314167684529</v>
      </c>
      <c r="E104" s="80">
        <f t="shared" si="15"/>
        <v>6.5009148369926812</v>
      </c>
      <c r="F104" s="80">
        <f t="shared" si="16"/>
        <v>0.94025905217116834</v>
      </c>
      <c r="G104" s="80">
        <f t="shared" si="17"/>
        <v>3.9667545801346962</v>
      </c>
      <c r="H104" s="80">
        <f t="shared" si="18"/>
        <v>2.7167982450546506</v>
      </c>
      <c r="I104" s="80">
        <f t="shared" si="19"/>
        <v>2.8436103508450365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C99:C104 C92:C96 C97:C98" formula="1"/>
    <ignoredError sqref="AB84 AA59:AB5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A174C-7058-4F2C-A03A-97F553938E8C}">
  <dimension ref="A1:AC139"/>
  <sheetViews>
    <sheetView showGridLines="0" tabSelected="1" zoomScaleNormal="100" workbookViewId="0">
      <pane xSplit="3" ySplit="6" topLeftCell="Y7" activePane="bottomRight" state="frozen"/>
      <selection pane="topRight" activeCell="D1" sqref="D1"/>
      <selection pane="bottomLeft" activeCell="A8" sqref="A8"/>
      <selection pane="bottomRight" activeCell="AC24" sqref="AC24"/>
    </sheetView>
  </sheetViews>
  <sheetFormatPr defaultColWidth="12.81640625" defaultRowHeight="13" x14ac:dyDescent="0.3"/>
  <cols>
    <col min="1" max="1" width="2.1796875" style="24" bestFit="1" customWidth="1"/>
    <col min="2" max="2" width="49.81640625" style="27" bestFit="1" customWidth="1"/>
    <col min="3" max="3" width="49.81640625" style="27" customWidth="1"/>
    <col min="4" max="7" width="9.54296875" style="27" customWidth="1"/>
    <col min="8" max="8" width="11.54296875" style="27" bestFit="1" customWidth="1"/>
    <col min="9" max="9" width="9.54296875" style="27" customWidth="1"/>
    <col min="10" max="10" width="11.1796875" style="27" customWidth="1"/>
    <col min="11" max="11" width="12.54296875" style="27" customWidth="1"/>
    <col min="12" max="12" width="10.1796875" style="27" customWidth="1"/>
    <col min="13" max="13" width="11.1796875" style="27" bestFit="1" customWidth="1"/>
    <col min="14" max="16" width="12.54296875" style="27" customWidth="1"/>
    <col min="17" max="17" width="10.81640625" style="27" customWidth="1" collapsed="1"/>
    <col min="18" max="18" width="11.1796875" style="27" bestFit="1" customWidth="1"/>
    <col min="19" max="19" width="10.81640625" style="27" customWidth="1"/>
    <col min="20" max="20" width="12.81640625" style="27" bestFit="1" customWidth="1"/>
    <col min="21" max="22" width="12.81640625" style="27"/>
    <col min="23" max="23" width="11.1796875" style="27" bestFit="1" customWidth="1"/>
    <col min="24" max="24" width="12.81640625" style="102"/>
    <col min="25" max="16384" width="12.81640625" style="27"/>
  </cols>
  <sheetData>
    <row r="1" spans="1:29" s="36" customFormat="1" x14ac:dyDescent="0.3">
      <c r="A1" s="2"/>
      <c r="B1" s="2"/>
      <c r="C1" s="2"/>
      <c r="D1" s="2"/>
      <c r="E1" s="2"/>
      <c r="F1" s="2"/>
      <c r="G1" s="2"/>
      <c r="I1" s="2"/>
      <c r="J1" s="2"/>
      <c r="K1" s="2"/>
      <c r="L1" s="2"/>
      <c r="X1" s="100"/>
    </row>
    <row r="2" spans="1:29" s="36" customFormat="1" x14ac:dyDescent="0.3">
      <c r="A2" s="2"/>
      <c r="B2" s="2"/>
      <c r="C2" s="2"/>
      <c r="D2" s="2"/>
      <c r="E2" s="2"/>
      <c r="F2" s="2"/>
      <c r="G2" s="2"/>
      <c r="I2" s="2"/>
      <c r="J2" s="2"/>
      <c r="K2" s="2"/>
      <c r="L2" s="2"/>
      <c r="X2" s="100"/>
    </row>
    <row r="3" spans="1:29" s="36" customFormat="1" x14ac:dyDescent="0.3">
      <c r="A3" s="2"/>
      <c r="B3" s="2"/>
      <c r="C3" s="2"/>
      <c r="D3" s="2"/>
      <c r="E3" s="2"/>
      <c r="F3" s="2"/>
      <c r="G3" s="2"/>
      <c r="I3" s="2"/>
      <c r="J3" s="2"/>
      <c r="K3" s="2"/>
      <c r="L3" s="2"/>
      <c r="X3" s="100"/>
    </row>
    <row r="4" spans="1:29" s="36" customFormat="1" x14ac:dyDescent="0.3">
      <c r="A4" s="2"/>
      <c r="B4" s="2"/>
      <c r="C4" s="2"/>
      <c r="D4" s="2"/>
      <c r="E4" s="2"/>
      <c r="F4" s="2"/>
      <c r="G4" s="2"/>
      <c r="I4" s="2"/>
      <c r="J4" s="2"/>
      <c r="K4" s="2"/>
      <c r="L4" s="2"/>
      <c r="X4" s="100"/>
    </row>
    <row r="5" spans="1:29" s="35" customFormat="1" x14ac:dyDescent="0.3">
      <c r="D5" s="83" t="s">
        <v>7</v>
      </c>
      <c r="E5" s="83" t="s">
        <v>8</v>
      </c>
      <c r="F5" s="83" t="s">
        <v>9</v>
      </c>
      <c r="G5" s="83" t="s">
        <v>10</v>
      </c>
      <c r="H5" s="83" t="s">
        <v>239</v>
      </c>
      <c r="I5" s="83" t="s">
        <v>11</v>
      </c>
      <c r="J5" s="83" t="s">
        <v>12</v>
      </c>
      <c r="K5" s="83" t="s">
        <v>13</v>
      </c>
      <c r="L5" s="83" t="s">
        <v>14</v>
      </c>
      <c r="M5" s="83" t="s">
        <v>240</v>
      </c>
      <c r="N5" s="83" t="s">
        <v>15</v>
      </c>
      <c r="O5" s="83" t="s">
        <v>16</v>
      </c>
      <c r="P5" s="83" t="s">
        <v>186</v>
      </c>
      <c r="Q5" s="83" t="s">
        <v>210</v>
      </c>
      <c r="R5" s="83" t="s">
        <v>241</v>
      </c>
      <c r="S5" s="84" t="s">
        <v>218</v>
      </c>
      <c r="T5" s="84" t="s">
        <v>233</v>
      </c>
      <c r="U5" s="84" t="s">
        <v>246</v>
      </c>
      <c r="V5" s="84" t="s">
        <v>250</v>
      </c>
      <c r="W5" s="83" t="s">
        <v>252</v>
      </c>
      <c r="X5" s="85" t="s">
        <v>259</v>
      </c>
      <c r="Y5" s="85" t="s">
        <v>291</v>
      </c>
      <c r="Z5" s="85" t="s">
        <v>323</v>
      </c>
      <c r="AA5" s="85" t="s">
        <v>336</v>
      </c>
      <c r="AB5" s="85">
        <v>2025</v>
      </c>
      <c r="AC5" s="85" t="s">
        <v>354</v>
      </c>
    </row>
    <row r="6" spans="1:29" s="35" customFormat="1" x14ac:dyDescent="0.3">
      <c r="A6" s="35" t="s">
        <v>0</v>
      </c>
      <c r="B6" s="35" t="s">
        <v>243</v>
      </c>
      <c r="C6" s="35" t="s">
        <v>244</v>
      </c>
      <c r="D6" s="83" t="s">
        <v>23</v>
      </c>
      <c r="E6" s="83" t="s">
        <v>24</v>
      </c>
      <c r="F6" s="83" t="s">
        <v>25</v>
      </c>
      <c r="G6" s="83" t="s">
        <v>26</v>
      </c>
      <c r="H6" s="83" t="s">
        <v>239</v>
      </c>
      <c r="I6" s="83" t="s">
        <v>27</v>
      </c>
      <c r="J6" s="83" t="s">
        <v>28</v>
      </c>
      <c r="K6" s="83" t="s">
        <v>29</v>
      </c>
      <c r="L6" s="83" t="s">
        <v>30</v>
      </c>
      <c r="M6" s="83" t="s">
        <v>240</v>
      </c>
      <c r="N6" s="83" t="s">
        <v>31</v>
      </c>
      <c r="O6" s="83" t="s">
        <v>32</v>
      </c>
      <c r="P6" s="83" t="s">
        <v>193</v>
      </c>
      <c r="Q6" s="83" t="s">
        <v>211</v>
      </c>
      <c r="R6" s="83" t="s">
        <v>241</v>
      </c>
      <c r="S6" s="84" t="s">
        <v>219</v>
      </c>
      <c r="T6" s="84" t="s">
        <v>234</v>
      </c>
      <c r="U6" s="84" t="s">
        <v>247</v>
      </c>
      <c r="V6" s="84" t="s">
        <v>251</v>
      </c>
      <c r="W6" s="83" t="s">
        <v>252</v>
      </c>
      <c r="X6" s="85" t="s">
        <v>260</v>
      </c>
      <c r="Y6" s="85" t="s">
        <v>292</v>
      </c>
      <c r="Z6" s="85" t="s">
        <v>324</v>
      </c>
      <c r="AA6" s="85" t="s">
        <v>337</v>
      </c>
      <c r="AB6" s="85">
        <v>2025</v>
      </c>
      <c r="AC6" s="85" t="s">
        <v>355</v>
      </c>
    </row>
    <row r="7" spans="1:29" s="38" customFormat="1" x14ac:dyDescent="0.3">
      <c r="A7" s="37"/>
      <c r="B7" s="37" t="s">
        <v>162</v>
      </c>
      <c r="C7" s="37" t="s">
        <v>276</v>
      </c>
      <c r="D7" s="86">
        <v>93.303239999999988</v>
      </c>
      <c r="E7" s="86">
        <v>83.018290399999998</v>
      </c>
      <c r="F7" s="86">
        <v>121.61139190000004</v>
      </c>
      <c r="G7" s="86">
        <v>100.67009999999991</v>
      </c>
      <c r="H7" s="86">
        <f>SUM(D7:G7)</f>
        <v>398.60302229999991</v>
      </c>
      <c r="I7" s="86">
        <v>88.626000000000005</v>
      </c>
      <c r="J7" s="86">
        <v>107.95727000000011</v>
      </c>
      <c r="K7" s="86">
        <v>104.22659</v>
      </c>
      <c r="L7" s="86">
        <v>119.24509000000002</v>
      </c>
      <c r="M7" s="86">
        <f>SUM(I7:L7)</f>
        <v>420.05495000000013</v>
      </c>
      <c r="N7" s="86">
        <v>120.07843</v>
      </c>
      <c r="O7" s="86">
        <v>55.097740999999928</v>
      </c>
      <c r="P7" s="86">
        <v>55.56293000000008</v>
      </c>
      <c r="Q7" s="86">
        <v>76.052810000000022</v>
      </c>
      <c r="R7" s="86">
        <f>SUM(N7:Q7)</f>
        <v>306.79191100000003</v>
      </c>
      <c r="S7" s="86">
        <v>70.20996199999999</v>
      </c>
      <c r="T7" s="86">
        <v>74.818580000000026</v>
      </c>
      <c r="U7" s="86">
        <v>81.489660299999898</v>
      </c>
      <c r="V7" s="86">
        <v>68.925759999999997</v>
      </c>
      <c r="W7" s="86">
        <f>SUM(S7:V7)</f>
        <v>295.44396229999995</v>
      </c>
      <c r="X7" s="86">
        <v>74.142840000000007</v>
      </c>
      <c r="Y7" s="86">
        <v>70.518450000000001</v>
      </c>
      <c r="Z7" s="38">
        <v>69.072637999999984</v>
      </c>
      <c r="AA7" s="38">
        <v>64.306489999999997</v>
      </c>
      <c r="AB7" s="38">
        <v>278.04041799999999</v>
      </c>
      <c r="AC7" s="38">
        <v>54.680320000000002</v>
      </c>
    </row>
    <row r="8" spans="1:29" s="38" customFormat="1" x14ac:dyDescent="0.3">
      <c r="A8" s="39"/>
      <c r="B8" s="39" t="s">
        <v>163</v>
      </c>
      <c r="C8" s="39" t="s">
        <v>277</v>
      </c>
      <c r="D8" s="87">
        <v>166.79632000000001</v>
      </c>
      <c r="E8" s="87">
        <v>150.15224300000011</v>
      </c>
      <c r="F8" s="87">
        <v>157.75687000000008</v>
      </c>
      <c r="G8" s="87">
        <v>152.94779100000002</v>
      </c>
      <c r="H8" s="86">
        <f t="shared" ref="H8:H32" si="0">SUM(D8:G8)</f>
        <v>627.65322400000025</v>
      </c>
      <c r="I8" s="87">
        <v>173.63210500000002</v>
      </c>
      <c r="J8" s="87">
        <v>184.81153999999998</v>
      </c>
      <c r="K8" s="87">
        <v>169.47902500000004</v>
      </c>
      <c r="L8" s="87">
        <v>166.13800800000007</v>
      </c>
      <c r="M8" s="86">
        <f t="shared" ref="M8:M32" si="1">SUM(I8:L8)</f>
        <v>694.06067800000005</v>
      </c>
      <c r="N8" s="87">
        <v>193.28802999999996</v>
      </c>
      <c r="O8" s="87">
        <v>189.57495399999991</v>
      </c>
      <c r="P8" s="87">
        <v>184.17824000000007</v>
      </c>
      <c r="Q8" s="86">
        <v>174.81874500000004</v>
      </c>
      <c r="R8" s="86">
        <f t="shared" ref="R8:R32" si="2">SUM(N8:Q8)</f>
        <v>741.85996899999998</v>
      </c>
      <c r="S8" s="86">
        <v>182.52807999999996</v>
      </c>
      <c r="T8" s="86">
        <v>174.65897000000004</v>
      </c>
      <c r="U8" s="86">
        <v>177.44041000000004</v>
      </c>
      <c r="V8" s="86">
        <v>178.46827999999999</v>
      </c>
      <c r="W8" s="86">
        <f t="shared" ref="W8:W23" si="3">SUM(S8:V8)</f>
        <v>713.09573999999998</v>
      </c>
      <c r="X8" s="86">
        <v>169.06511</v>
      </c>
      <c r="Y8" s="86">
        <v>161.82795999999996</v>
      </c>
      <c r="Z8" s="38">
        <v>156.00517400000001</v>
      </c>
      <c r="AA8" s="38">
        <v>157.30007000000001</v>
      </c>
      <c r="AB8" s="38">
        <v>644.19831399999998</v>
      </c>
      <c r="AC8" s="38">
        <v>164.62147000000004</v>
      </c>
    </row>
    <row r="9" spans="1:29" s="38" customFormat="1" x14ac:dyDescent="0.3">
      <c r="A9" s="39"/>
      <c r="B9" s="39" t="s">
        <v>341</v>
      </c>
      <c r="C9" s="39" t="s">
        <v>344</v>
      </c>
      <c r="D9" s="87">
        <v>393.82756000000001</v>
      </c>
      <c r="E9" s="87">
        <v>384.68443000000008</v>
      </c>
      <c r="F9" s="87">
        <v>342.91962000000018</v>
      </c>
      <c r="G9" s="87">
        <v>362.16584999999998</v>
      </c>
      <c r="H9" s="86">
        <f t="shared" si="0"/>
        <v>1483.5974600000004</v>
      </c>
      <c r="I9" s="87">
        <v>398.82157000000007</v>
      </c>
      <c r="J9" s="87">
        <v>376.41679000000005</v>
      </c>
      <c r="K9" s="87">
        <v>399.18795000000006</v>
      </c>
      <c r="L9" s="87">
        <v>361.19110000000006</v>
      </c>
      <c r="M9" s="86">
        <f t="shared" si="1"/>
        <v>1535.6174100000001</v>
      </c>
      <c r="N9" s="87">
        <v>326.74066999999997</v>
      </c>
      <c r="O9" s="87">
        <v>357.77323000000007</v>
      </c>
      <c r="P9" s="87">
        <v>355.4135500000001</v>
      </c>
      <c r="Q9" s="86">
        <v>310.60758099999975</v>
      </c>
      <c r="R9" s="86">
        <f t="shared" si="2"/>
        <v>1350.5350309999999</v>
      </c>
      <c r="S9" s="86">
        <v>351.30997000000008</v>
      </c>
      <c r="T9" s="86">
        <v>336.75686999999976</v>
      </c>
      <c r="U9" s="86">
        <v>310.95601000000022</v>
      </c>
      <c r="V9" s="86">
        <v>281.57053000000002</v>
      </c>
      <c r="W9" s="86">
        <f>SUM(S9:V9)</f>
        <v>1280.59338</v>
      </c>
      <c r="X9" s="86">
        <v>312.02516000000003</v>
      </c>
      <c r="Y9" s="86">
        <v>313.45638999999994</v>
      </c>
      <c r="Z9" s="38">
        <v>305.30577600000015</v>
      </c>
      <c r="AA9" s="38">
        <v>291.5632099999998</v>
      </c>
      <c r="AB9" s="38">
        <v>1222.3505359999999</v>
      </c>
      <c r="AC9" s="38">
        <v>321.67353100000003</v>
      </c>
    </row>
    <row r="10" spans="1:29" s="38" customFormat="1" x14ac:dyDescent="0.3">
      <c r="A10" s="39"/>
      <c r="B10" s="39" t="s">
        <v>164</v>
      </c>
      <c r="C10" s="39" t="s">
        <v>278</v>
      </c>
      <c r="D10" s="87">
        <v>366.16341679999999</v>
      </c>
      <c r="E10" s="87">
        <v>384.82658019999997</v>
      </c>
      <c r="F10" s="87">
        <v>387.33607374999985</v>
      </c>
      <c r="G10" s="87">
        <v>391.75972860000002</v>
      </c>
      <c r="H10" s="86">
        <f t="shared" si="0"/>
        <v>1530.0857993499999</v>
      </c>
      <c r="I10" s="87">
        <v>366.91042219999997</v>
      </c>
      <c r="J10" s="87">
        <v>372.89370180000003</v>
      </c>
      <c r="K10" s="87">
        <v>359.06257555000002</v>
      </c>
      <c r="L10" s="87">
        <v>362.02722880000005</v>
      </c>
      <c r="M10" s="86">
        <f t="shared" si="1"/>
        <v>1460.8939283500001</v>
      </c>
      <c r="N10" s="87">
        <v>355.1132556</v>
      </c>
      <c r="O10" s="87">
        <v>351.24548995000004</v>
      </c>
      <c r="P10" s="87">
        <v>362.92226830000004</v>
      </c>
      <c r="Q10" s="86">
        <v>389.33387774999983</v>
      </c>
      <c r="R10" s="86">
        <f t="shared" si="2"/>
        <v>1458.6148916</v>
      </c>
      <c r="S10" s="86">
        <v>381.93592120000005</v>
      </c>
      <c r="T10" s="86">
        <v>351.54334859999994</v>
      </c>
      <c r="U10" s="86">
        <v>383.92154640000001</v>
      </c>
      <c r="V10" s="86">
        <v>352.66711839999999</v>
      </c>
      <c r="W10" s="86">
        <f>SUM(S10:V10)</f>
        <v>1470.0679345999999</v>
      </c>
      <c r="X10" s="86">
        <v>304.19771400000002</v>
      </c>
      <c r="Y10" s="86">
        <v>341.833123</v>
      </c>
      <c r="Z10" s="38">
        <v>357.16656209999996</v>
      </c>
      <c r="AA10" s="38">
        <v>330.09668770000007</v>
      </c>
      <c r="AB10" s="38">
        <v>1333.2940868000001</v>
      </c>
      <c r="AC10" s="38">
        <v>311.87944000000005</v>
      </c>
    </row>
    <row r="11" spans="1:29" s="38" customFormat="1" x14ac:dyDescent="0.3">
      <c r="A11" s="37"/>
      <c r="B11" s="37" t="s">
        <v>165</v>
      </c>
      <c r="C11" s="37" t="s">
        <v>279</v>
      </c>
      <c r="D11" s="86">
        <v>169.2179467</v>
      </c>
      <c r="E11" s="86">
        <v>166.622601</v>
      </c>
      <c r="F11" s="86">
        <v>181.47650189999996</v>
      </c>
      <c r="G11" s="86">
        <v>207.54816180000012</v>
      </c>
      <c r="H11" s="86">
        <f t="shared" si="0"/>
        <v>724.86521140000013</v>
      </c>
      <c r="I11" s="86">
        <v>206.305511</v>
      </c>
      <c r="J11" s="86">
        <v>229.574983</v>
      </c>
      <c r="K11" s="86">
        <v>211.0603629</v>
      </c>
      <c r="L11" s="86">
        <v>218.30756370000009</v>
      </c>
      <c r="M11" s="86">
        <f t="shared" si="1"/>
        <v>865.24842060000003</v>
      </c>
      <c r="N11" s="86">
        <v>229.53350100000003</v>
      </c>
      <c r="O11" s="86">
        <v>209.88523299999997</v>
      </c>
      <c r="P11" s="86">
        <v>212.68427620000011</v>
      </c>
      <c r="Q11" s="86">
        <v>220.81157199999996</v>
      </c>
      <c r="R11" s="86">
        <f t="shared" si="2"/>
        <v>872.91458220000004</v>
      </c>
      <c r="S11" s="86">
        <v>225.35861499999999</v>
      </c>
      <c r="T11" s="86">
        <v>206.67089000000004</v>
      </c>
      <c r="U11" s="86">
        <v>212.51653999999991</v>
      </c>
      <c r="V11" s="86">
        <v>208.90521999999999</v>
      </c>
      <c r="W11" s="86">
        <f t="shared" si="3"/>
        <v>853.45126499999992</v>
      </c>
      <c r="X11" s="86">
        <v>209.47873100000004</v>
      </c>
      <c r="Y11" s="86">
        <v>208.04729999999995</v>
      </c>
      <c r="Z11" s="38">
        <v>198.91939000000002</v>
      </c>
      <c r="AA11" s="38">
        <v>212.98355000000004</v>
      </c>
      <c r="AB11" s="38">
        <v>829.42897100000005</v>
      </c>
      <c r="AC11" s="38">
        <v>221.47813499999995</v>
      </c>
    </row>
    <row r="12" spans="1:29" s="38" customFormat="1" x14ac:dyDescent="0.3">
      <c r="A12" s="39"/>
      <c r="B12" s="39" t="s">
        <v>166</v>
      </c>
      <c r="C12" s="39" t="s">
        <v>280</v>
      </c>
      <c r="D12" s="87">
        <v>0</v>
      </c>
      <c r="E12" s="87">
        <v>0</v>
      </c>
      <c r="F12" s="87">
        <v>0</v>
      </c>
      <c r="G12" s="87">
        <v>0</v>
      </c>
      <c r="H12" s="86">
        <f t="shared" si="0"/>
        <v>0</v>
      </c>
      <c r="I12" s="87">
        <v>4.1593093100000003</v>
      </c>
      <c r="J12" s="87">
        <v>12.75805757</v>
      </c>
      <c r="K12" s="87">
        <v>22.409571180000004</v>
      </c>
      <c r="L12" s="87">
        <v>35.700600765000004</v>
      </c>
      <c r="M12" s="86">
        <f t="shared" si="1"/>
        <v>75.027538825000008</v>
      </c>
      <c r="N12" s="87">
        <v>57.050436719999993</v>
      </c>
      <c r="O12" s="87">
        <v>69.652166000000008</v>
      </c>
      <c r="P12" s="87">
        <v>74.747758100000041</v>
      </c>
      <c r="Q12" s="86">
        <v>80.38302029999997</v>
      </c>
      <c r="R12" s="86">
        <f t="shared" si="2"/>
        <v>281.83338112000001</v>
      </c>
      <c r="S12" s="86">
        <v>77.788818600000013</v>
      </c>
      <c r="T12" s="86">
        <v>77.960804700000011</v>
      </c>
      <c r="U12" s="86">
        <v>68.699671699999982</v>
      </c>
      <c r="V12" s="86">
        <v>80.080160199999995</v>
      </c>
      <c r="W12" s="86">
        <f>SUM(S12:V12)</f>
        <v>304.52945520000003</v>
      </c>
      <c r="X12" s="86">
        <v>84.73846309999999</v>
      </c>
      <c r="Y12" s="86">
        <v>83.239615999999984</v>
      </c>
      <c r="Z12" s="38">
        <v>84.285123999999996</v>
      </c>
      <c r="AA12" s="38">
        <v>81.859462000000036</v>
      </c>
      <c r="AB12" s="38">
        <v>334.12266510000001</v>
      </c>
      <c r="AC12" s="38">
        <v>84.492430999999996</v>
      </c>
    </row>
    <row r="13" spans="1:29" s="38" customFormat="1" x14ac:dyDescent="0.3">
      <c r="A13" s="39"/>
      <c r="B13" s="39" t="s">
        <v>167</v>
      </c>
      <c r="C13" s="39" t="s">
        <v>281</v>
      </c>
      <c r="D13" s="87">
        <v>404.5727500000001</v>
      </c>
      <c r="E13" s="87">
        <v>397.81299000000001</v>
      </c>
      <c r="F13" s="87">
        <v>392.6775310000001</v>
      </c>
      <c r="G13" s="87">
        <v>397.21454915471924</v>
      </c>
      <c r="H13" s="86">
        <f t="shared" si="0"/>
        <v>1592.2778201547194</v>
      </c>
      <c r="I13" s="87">
        <v>397.81897999999995</v>
      </c>
      <c r="J13" s="87">
        <v>416.54040000000003</v>
      </c>
      <c r="K13" s="87">
        <v>376.017312</v>
      </c>
      <c r="L13" s="87">
        <v>388.36426966694802</v>
      </c>
      <c r="M13" s="86">
        <f t="shared" si="1"/>
        <v>1578.7409616669481</v>
      </c>
      <c r="N13" s="87">
        <v>349.47600003797947</v>
      </c>
      <c r="O13" s="87">
        <v>337.64992099999989</v>
      </c>
      <c r="P13" s="87">
        <v>352.80402296202033</v>
      </c>
      <c r="Q13" s="86">
        <v>364.01916700000015</v>
      </c>
      <c r="R13" s="86">
        <f t="shared" si="2"/>
        <v>1403.9491109999999</v>
      </c>
      <c r="S13" s="86">
        <v>378.75812999999999</v>
      </c>
      <c r="T13" s="86">
        <v>377.93466199999995</v>
      </c>
      <c r="U13" s="86">
        <v>387.56177999999989</v>
      </c>
      <c r="V13" s="86">
        <v>394.50041099999999</v>
      </c>
      <c r="W13" s="86">
        <f t="shared" si="3"/>
        <v>1538.7549829999998</v>
      </c>
      <c r="X13" s="86">
        <v>398.48374000000001</v>
      </c>
      <c r="Y13" s="86">
        <v>382.80016000000012</v>
      </c>
      <c r="Z13" s="38">
        <v>376.08992000000012</v>
      </c>
      <c r="AA13" s="38">
        <v>387.78391399999998</v>
      </c>
      <c r="AB13" s="38">
        <v>1545.1577340000003</v>
      </c>
      <c r="AC13" s="38">
        <v>394.34292999999991</v>
      </c>
    </row>
    <row r="14" spans="1:29" s="38" customFormat="1" x14ac:dyDescent="0.3">
      <c r="A14" s="39"/>
      <c r="B14" s="39" t="s">
        <v>168</v>
      </c>
      <c r="C14" s="39" t="s">
        <v>282</v>
      </c>
      <c r="D14" s="87">
        <v>77.50727999999998</v>
      </c>
      <c r="E14" s="87">
        <v>74.949709999999996</v>
      </c>
      <c r="F14" s="87">
        <v>76.770809999999983</v>
      </c>
      <c r="G14" s="87">
        <v>85.788115720430113</v>
      </c>
      <c r="H14" s="86">
        <f t="shared" si="0"/>
        <v>315.01591572043003</v>
      </c>
      <c r="I14" s="87">
        <v>81.638379999999984</v>
      </c>
      <c r="J14" s="87">
        <v>85.85687200000001</v>
      </c>
      <c r="K14" s="87">
        <v>105.15283000000002</v>
      </c>
      <c r="L14" s="87">
        <v>97.789024899999987</v>
      </c>
      <c r="M14" s="86">
        <f t="shared" si="1"/>
        <v>370.4371069</v>
      </c>
      <c r="N14" s="87">
        <v>100.54796999999998</v>
      </c>
      <c r="O14" s="87">
        <v>107.74292000000004</v>
      </c>
      <c r="P14" s="87">
        <v>92.470588999999933</v>
      </c>
      <c r="Q14" s="86">
        <v>95.799500000000023</v>
      </c>
      <c r="R14" s="86">
        <f t="shared" si="2"/>
        <v>396.56097899999997</v>
      </c>
      <c r="S14" s="86">
        <v>90.311289999999985</v>
      </c>
      <c r="T14" s="86">
        <v>92.711689999999976</v>
      </c>
      <c r="U14" s="86">
        <v>89.229760000000056</v>
      </c>
      <c r="V14" s="86">
        <v>106.24903</v>
      </c>
      <c r="W14" s="86">
        <f>SUM(S14:V14)</f>
        <v>378.50177000000002</v>
      </c>
      <c r="X14" s="86">
        <v>104.04214599999999</v>
      </c>
      <c r="Y14" s="86">
        <v>111.27714499999998</v>
      </c>
      <c r="Z14" s="38">
        <v>116.15515000000001</v>
      </c>
      <c r="AA14" s="38">
        <v>108.09698999999999</v>
      </c>
      <c r="AB14" s="38">
        <v>439.57143099999996</v>
      </c>
      <c r="AC14" s="38">
        <v>120.15312000000003</v>
      </c>
    </row>
    <row r="15" spans="1:29" s="38" customFormat="1" x14ac:dyDescent="0.3">
      <c r="A15" s="39"/>
      <c r="B15" s="39" t="s">
        <v>169</v>
      </c>
      <c r="C15" s="39" t="s">
        <v>283</v>
      </c>
      <c r="D15" s="87">
        <v>41.717793000000007</v>
      </c>
      <c r="E15" s="87">
        <v>44.368904999999991</v>
      </c>
      <c r="F15" s="87">
        <v>47.432329999999993</v>
      </c>
      <c r="G15" s="87">
        <v>62.177278172043003</v>
      </c>
      <c r="H15" s="86">
        <f t="shared" si="0"/>
        <v>195.69630617204299</v>
      </c>
      <c r="I15" s="87">
        <v>60.544108999999999</v>
      </c>
      <c r="J15" s="87">
        <v>59.717490000000005</v>
      </c>
      <c r="K15" s="87">
        <v>62.480789999999992</v>
      </c>
      <c r="L15" s="87">
        <v>57.079882900000115</v>
      </c>
      <c r="M15" s="86">
        <f t="shared" si="1"/>
        <v>239.82227190000012</v>
      </c>
      <c r="N15" s="87">
        <v>68.107029999999995</v>
      </c>
      <c r="O15" s="87">
        <v>61.688635000000033</v>
      </c>
      <c r="P15" s="87">
        <v>53.922369999999944</v>
      </c>
      <c r="Q15" s="86">
        <v>64.217530000000011</v>
      </c>
      <c r="R15" s="86">
        <f t="shared" si="2"/>
        <v>247.935565</v>
      </c>
      <c r="S15" s="86">
        <v>63.88044</v>
      </c>
      <c r="T15" s="86">
        <v>87.106194899999963</v>
      </c>
      <c r="U15" s="86">
        <v>63.420869700000026</v>
      </c>
      <c r="V15" s="86">
        <v>67.046443999999994</v>
      </c>
      <c r="W15" s="86">
        <f>SUM(S15:V15)</f>
        <v>281.45394859999999</v>
      </c>
      <c r="X15" s="86">
        <v>72.251631000000003</v>
      </c>
      <c r="Y15" s="86">
        <v>68.900530000000003</v>
      </c>
      <c r="Z15" s="38">
        <v>71.085086000000018</v>
      </c>
      <c r="AA15" s="38">
        <v>76.343749000000003</v>
      </c>
      <c r="AB15" s="38">
        <v>288.58099600000003</v>
      </c>
      <c r="AC15" s="38">
        <v>78.354872999999998</v>
      </c>
    </row>
    <row r="16" spans="1:29" s="38" customFormat="1" x14ac:dyDescent="0.3">
      <c r="A16" s="39"/>
      <c r="B16" s="39" t="s">
        <v>170</v>
      </c>
      <c r="C16" s="39" t="s">
        <v>284</v>
      </c>
      <c r="D16" s="87">
        <v>48.351409999999987</v>
      </c>
      <c r="E16" s="87">
        <v>48.35437000000001</v>
      </c>
      <c r="F16" s="87">
        <v>48.147460000000002</v>
      </c>
      <c r="G16" s="87">
        <v>47.442170564516132</v>
      </c>
      <c r="H16" s="86">
        <f t="shared" si="0"/>
        <v>192.29541056451615</v>
      </c>
      <c r="I16" s="87">
        <v>41.054230000000004</v>
      </c>
      <c r="J16" s="87">
        <v>38.219149999999999</v>
      </c>
      <c r="K16" s="87">
        <v>22.16536</v>
      </c>
      <c r="L16" s="87">
        <v>20.707060000000002</v>
      </c>
      <c r="M16" s="86">
        <f t="shared" si="1"/>
        <v>122.14579999999999</v>
      </c>
      <c r="N16" s="87">
        <v>0</v>
      </c>
      <c r="O16" s="87">
        <v>0</v>
      </c>
      <c r="P16" s="87">
        <v>0</v>
      </c>
      <c r="Q16" s="86">
        <v>0</v>
      </c>
      <c r="R16" s="86">
        <f t="shared" si="2"/>
        <v>0</v>
      </c>
      <c r="S16" s="86">
        <v>0</v>
      </c>
      <c r="T16" s="86">
        <v>0</v>
      </c>
      <c r="U16" s="86">
        <v>0</v>
      </c>
      <c r="V16" s="86">
        <v>0</v>
      </c>
      <c r="W16" s="86">
        <f t="shared" si="3"/>
        <v>0</v>
      </c>
      <c r="X16" s="86">
        <v>0</v>
      </c>
      <c r="Y16" s="86">
        <v>0</v>
      </c>
      <c r="Z16" s="38">
        <v>0</v>
      </c>
      <c r="AA16" s="38">
        <v>0</v>
      </c>
      <c r="AB16" s="38">
        <v>0</v>
      </c>
      <c r="AC16" s="38">
        <v>0</v>
      </c>
    </row>
    <row r="17" spans="1:29" s="38" customFormat="1" x14ac:dyDescent="0.3">
      <c r="A17" s="39"/>
      <c r="B17" s="39" t="s">
        <v>171</v>
      </c>
      <c r="C17" s="39" t="s">
        <v>285</v>
      </c>
      <c r="D17" s="87">
        <v>184.66557</v>
      </c>
      <c r="E17" s="87">
        <v>185.32132999999999</v>
      </c>
      <c r="F17" s="87">
        <v>188.50539000000001</v>
      </c>
      <c r="G17" s="87">
        <v>201.19013999999999</v>
      </c>
      <c r="H17" s="86">
        <f t="shared" si="0"/>
        <v>759.68243000000007</v>
      </c>
      <c r="I17" s="87">
        <v>215.92918000000006</v>
      </c>
      <c r="J17" s="87">
        <v>219.03893000000002</v>
      </c>
      <c r="K17" s="87">
        <v>204.89469</v>
      </c>
      <c r="L17" s="87">
        <v>208.19372000000001</v>
      </c>
      <c r="M17" s="86">
        <f t="shared" si="1"/>
        <v>848.05652000000009</v>
      </c>
      <c r="N17" s="87">
        <v>178.46657999999999</v>
      </c>
      <c r="O17" s="87">
        <v>158.01971</v>
      </c>
      <c r="P17" s="87">
        <v>166.30613000000011</v>
      </c>
      <c r="Q17" s="86">
        <v>172.91304000000002</v>
      </c>
      <c r="R17" s="86">
        <f t="shared" si="2"/>
        <v>675.70546000000013</v>
      </c>
      <c r="S17" s="86">
        <v>185.99274999999997</v>
      </c>
      <c r="T17" s="86">
        <v>187.30659000000006</v>
      </c>
      <c r="U17" s="86">
        <v>183.42002999999988</v>
      </c>
      <c r="V17" s="86">
        <v>197.05578</v>
      </c>
      <c r="W17" s="86">
        <f>SUM(S17:V17)</f>
        <v>753.77514999999994</v>
      </c>
      <c r="X17" s="86">
        <v>208.92233999999999</v>
      </c>
      <c r="Y17" s="86">
        <v>193.08498999999998</v>
      </c>
      <c r="Z17" s="38">
        <v>205.76313999999999</v>
      </c>
      <c r="AA17" s="38">
        <v>201.56431000000001</v>
      </c>
      <c r="AB17" s="38">
        <v>809.33477999999991</v>
      </c>
      <c r="AC17" s="38">
        <v>182.13636</v>
      </c>
    </row>
    <row r="18" spans="1:29" s="38" customFormat="1" x14ac:dyDescent="0.3">
      <c r="A18" s="39"/>
      <c r="B18" s="39" t="s">
        <v>172</v>
      </c>
      <c r="C18" s="39" t="s">
        <v>286</v>
      </c>
      <c r="D18" s="87">
        <v>127.13139999999996</v>
      </c>
      <c r="E18" s="87">
        <v>114.29512699999997</v>
      </c>
      <c r="F18" s="87">
        <v>131.26990400000017</v>
      </c>
      <c r="G18" s="87">
        <v>131.51603523179901</v>
      </c>
      <c r="H18" s="86">
        <f t="shared" si="0"/>
        <v>504.21246623179911</v>
      </c>
      <c r="I18" s="87">
        <v>129.69583999999998</v>
      </c>
      <c r="J18" s="87">
        <v>136.84939000000003</v>
      </c>
      <c r="K18" s="87">
        <v>138.25120999999999</v>
      </c>
      <c r="L18" s="87">
        <v>116.3840289999999</v>
      </c>
      <c r="M18" s="86">
        <f t="shared" si="1"/>
        <v>521.1804689999999</v>
      </c>
      <c r="N18" s="87">
        <v>108.1236231</v>
      </c>
      <c r="O18" s="87">
        <v>109.35032</v>
      </c>
      <c r="P18" s="87">
        <v>113.30462000000006</v>
      </c>
      <c r="Q18" s="86">
        <v>99.68760999999995</v>
      </c>
      <c r="R18" s="86">
        <f t="shared" si="2"/>
        <v>430.46617309999999</v>
      </c>
      <c r="S18" s="86">
        <v>104.24588999999996</v>
      </c>
      <c r="T18" s="86">
        <v>104.655928</v>
      </c>
      <c r="U18" s="86">
        <v>103.54617600000009</v>
      </c>
      <c r="V18" s="86">
        <v>96.476820000000004</v>
      </c>
      <c r="W18" s="86">
        <f>SUM(S18:V18)</f>
        <v>408.92481400000008</v>
      </c>
      <c r="X18" s="86">
        <v>118.36108</v>
      </c>
      <c r="Y18" s="86">
        <v>148.66798999999992</v>
      </c>
      <c r="Z18" s="38">
        <v>152.61561999999998</v>
      </c>
      <c r="AA18" s="38">
        <v>157.30442999999997</v>
      </c>
      <c r="AB18" s="38">
        <v>576.94911999999988</v>
      </c>
      <c r="AC18" s="38">
        <v>174.08382000000003</v>
      </c>
    </row>
    <row r="19" spans="1:29" s="38" customFormat="1" x14ac:dyDescent="0.3">
      <c r="A19" s="39"/>
      <c r="B19" s="39" t="s">
        <v>342</v>
      </c>
      <c r="C19" s="39" t="s">
        <v>343</v>
      </c>
      <c r="D19" s="87">
        <v>13.952220000000001</v>
      </c>
      <c r="E19" s="87">
        <v>13.692</v>
      </c>
      <c r="F19" s="87">
        <v>14.509385</v>
      </c>
      <c r="G19" s="87">
        <v>17.776910000000001</v>
      </c>
      <c r="H19" s="86">
        <f t="shared" si="0"/>
        <v>59.930515</v>
      </c>
      <c r="I19" s="87">
        <v>18.781719999999996</v>
      </c>
      <c r="J19" s="87">
        <v>17.766059999999996</v>
      </c>
      <c r="K19" s="87">
        <v>18.980400000000003</v>
      </c>
      <c r="L19" s="87">
        <v>23.481999999999999</v>
      </c>
      <c r="M19" s="86">
        <f t="shared" si="1"/>
        <v>79.010179999999991</v>
      </c>
      <c r="N19" s="87">
        <v>22.914999999999999</v>
      </c>
      <c r="O19" s="87">
        <v>23.3</v>
      </c>
      <c r="P19" s="87">
        <v>22.086799999999982</v>
      </c>
      <c r="Q19" s="86">
        <v>26.285340000000019</v>
      </c>
      <c r="R19" s="86">
        <f t="shared" si="2"/>
        <v>94.587140000000005</v>
      </c>
      <c r="S19" s="86">
        <v>28.530629999999999</v>
      </c>
      <c r="T19" s="86">
        <v>26.198659999999979</v>
      </c>
      <c r="U19" s="86">
        <v>25.654539999999955</v>
      </c>
      <c r="V19" s="86">
        <v>33.539749999999998</v>
      </c>
      <c r="W19" s="86">
        <f t="shared" si="3"/>
        <v>113.92357999999993</v>
      </c>
      <c r="X19" s="86">
        <v>33.789811999999991</v>
      </c>
      <c r="Y19" s="86">
        <v>33.885079999999995</v>
      </c>
      <c r="Z19" s="38">
        <v>34.70118999999999</v>
      </c>
      <c r="AA19" s="38">
        <v>39.146390000000004</v>
      </c>
      <c r="AB19" s="38">
        <v>141.52247199999996</v>
      </c>
      <c r="AC19" s="38">
        <v>46.592829999999992</v>
      </c>
    </row>
    <row r="20" spans="1:29" s="38" customFormat="1" x14ac:dyDescent="0.3">
      <c r="A20" s="39"/>
      <c r="B20" s="39" t="s">
        <v>173</v>
      </c>
      <c r="C20" s="39" t="s">
        <v>287</v>
      </c>
      <c r="D20" s="87">
        <v>0</v>
      </c>
      <c r="E20" s="87">
        <v>0</v>
      </c>
      <c r="F20" s="87">
        <v>0</v>
      </c>
      <c r="G20" s="87">
        <v>0</v>
      </c>
      <c r="H20" s="86">
        <f t="shared" si="0"/>
        <v>0</v>
      </c>
      <c r="I20" s="87">
        <v>0</v>
      </c>
      <c r="J20" s="87">
        <v>0</v>
      </c>
      <c r="K20" s="87">
        <v>0</v>
      </c>
      <c r="L20" s="87">
        <v>0</v>
      </c>
      <c r="M20" s="86">
        <f t="shared" si="1"/>
        <v>0</v>
      </c>
      <c r="N20" s="87">
        <v>0</v>
      </c>
      <c r="O20" s="87">
        <v>7.0289830000000002</v>
      </c>
      <c r="P20" s="87">
        <v>11.46724</v>
      </c>
      <c r="Q20" s="86">
        <v>27.212040000000002</v>
      </c>
      <c r="R20" s="86">
        <f t="shared" si="2"/>
        <v>45.708263000000002</v>
      </c>
      <c r="S20" s="86">
        <v>28.632619999999996</v>
      </c>
      <c r="T20" s="86">
        <v>30.822560000000003</v>
      </c>
      <c r="U20" s="86">
        <v>32.066880000000012</v>
      </c>
      <c r="V20" s="86">
        <v>30.902979999999999</v>
      </c>
      <c r="W20" s="86">
        <f t="shared" si="3"/>
        <v>122.42504000000001</v>
      </c>
      <c r="X20" s="86">
        <v>33.061669999999999</v>
      </c>
      <c r="Y20" s="86">
        <v>34.481804000000004</v>
      </c>
      <c r="Z20" s="38">
        <v>35.342981000000002</v>
      </c>
      <c r="AA20" s="38">
        <v>38.065289999999983</v>
      </c>
      <c r="AB20" s="38">
        <v>140.95174499999999</v>
      </c>
      <c r="AC20" s="38">
        <v>40.645709999999994</v>
      </c>
    </row>
    <row r="21" spans="1:29" s="38" customFormat="1" x14ac:dyDescent="0.3">
      <c r="A21" s="37"/>
      <c r="B21" s="37" t="s">
        <v>174</v>
      </c>
      <c r="C21" s="37" t="s">
        <v>288</v>
      </c>
      <c r="D21" s="86">
        <v>0</v>
      </c>
      <c r="E21" s="86">
        <v>0</v>
      </c>
      <c r="F21" s="86">
        <v>0</v>
      </c>
      <c r="G21" s="86">
        <v>0</v>
      </c>
      <c r="H21" s="86">
        <f t="shared" si="0"/>
        <v>0</v>
      </c>
      <c r="I21" s="86">
        <v>0</v>
      </c>
      <c r="J21" s="86">
        <v>0</v>
      </c>
      <c r="K21" s="86">
        <v>0</v>
      </c>
      <c r="L21" s="86">
        <v>0</v>
      </c>
      <c r="M21" s="86">
        <f t="shared" si="1"/>
        <v>0</v>
      </c>
      <c r="N21" s="86">
        <v>0</v>
      </c>
      <c r="O21" s="86">
        <v>0.63653000000000004</v>
      </c>
      <c r="P21" s="86">
        <v>2.5493900000000003</v>
      </c>
      <c r="Q21" s="86">
        <v>27.781140000000001</v>
      </c>
      <c r="R21" s="86">
        <f t="shared" si="2"/>
        <v>30.96706</v>
      </c>
      <c r="S21" s="86">
        <v>34.209689999999995</v>
      </c>
      <c r="T21" s="86">
        <v>33.115874000000005</v>
      </c>
      <c r="U21" s="86">
        <v>31.057556000000005</v>
      </c>
      <c r="V21" s="86">
        <v>35.727598999999998</v>
      </c>
      <c r="W21" s="86">
        <f t="shared" si="3"/>
        <v>134.11071900000002</v>
      </c>
      <c r="X21" s="86">
        <v>35.96698</v>
      </c>
      <c r="Y21" s="86">
        <v>39.940782000000006</v>
      </c>
      <c r="Z21" s="38">
        <v>40.099169999999994</v>
      </c>
      <c r="AA21" s="38">
        <v>46.380774999999964</v>
      </c>
      <c r="AB21" s="38">
        <v>162.38770699999998</v>
      </c>
      <c r="AC21" s="38">
        <v>50.617229999999992</v>
      </c>
    </row>
    <row r="22" spans="1:29" s="38" customFormat="1" x14ac:dyDescent="0.3">
      <c r="A22" s="37"/>
      <c r="B22" s="37" t="s">
        <v>275</v>
      </c>
      <c r="C22" s="37" t="s">
        <v>289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6.1886299999999999</v>
      </c>
      <c r="T22" s="86">
        <v>7.4808899999999996</v>
      </c>
      <c r="U22" s="86">
        <v>10.283620000000001</v>
      </c>
      <c r="V22" s="86">
        <v>14.613601000000001</v>
      </c>
      <c r="W22" s="86">
        <f t="shared" si="3"/>
        <v>38.566741</v>
      </c>
      <c r="X22" s="86">
        <v>12.974721000000002</v>
      </c>
      <c r="Y22" s="86">
        <v>15.55903</v>
      </c>
      <c r="Z22" s="38">
        <v>16.210239999999999</v>
      </c>
      <c r="AA22" s="38">
        <v>16.612499999999997</v>
      </c>
      <c r="AB22" s="38">
        <v>61.356490999999998</v>
      </c>
      <c r="AC22" s="38">
        <v>16.596270000000001</v>
      </c>
    </row>
    <row r="23" spans="1:29" s="38" customFormat="1" x14ac:dyDescent="0.3">
      <c r="A23" s="37"/>
      <c r="B23" s="37" t="s">
        <v>347</v>
      </c>
      <c r="C23" s="37" t="s">
        <v>346</v>
      </c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2.0924</v>
      </c>
      <c r="W23" s="86">
        <f t="shared" si="3"/>
        <v>2.0924</v>
      </c>
      <c r="X23" s="86">
        <v>4.3434049999999997</v>
      </c>
      <c r="Y23" s="86">
        <v>6.025042</v>
      </c>
      <c r="Z23" s="38">
        <v>8.1228200000000008</v>
      </c>
      <c r="AA23" s="38">
        <v>9.1090799999999987</v>
      </c>
      <c r="AB23" s="38">
        <v>27.600346999999999</v>
      </c>
      <c r="AC23" s="38">
        <v>10.5634</v>
      </c>
    </row>
    <row r="24" spans="1:29" s="197" customFormat="1" x14ac:dyDescent="0.3">
      <c r="A24" s="60"/>
      <c r="B24" s="60" t="s">
        <v>345</v>
      </c>
      <c r="C24" s="60" t="s">
        <v>345</v>
      </c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 t="s">
        <v>161</v>
      </c>
      <c r="W24" s="196" t="s">
        <v>161</v>
      </c>
      <c r="X24" s="196"/>
      <c r="Y24" s="196"/>
      <c r="AA24" s="197">
        <v>31.03</v>
      </c>
      <c r="AB24" s="197">
        <v>31.03</v>
      </c>
      <c r="AC24" s="197">
        <v>33.215329999999994</v>
      </c>
    </row>
    <row r="25" spans="1:29" s="43" customFormat="1" x14ac:dyDescent="0.3">
      <c r="A25" s="41"/>
      <c r="B25" s="42" t="s">
        <v>196</v>
      </c>
      <c r="C25" s="42" t="s">
        <v>197</v>
      </c>
      <c r="D25" s="43">
        <f t="shared" ref="D25:U25" si="4">SUM(D7:D23)</f>
        <v>2087.2069065000001</v>
      </c>
      <c r="E25" s="43">
        <f t="shared" si="4"/>
        <v>2048.0985765999999</v>
      </c>
      <c r="F25" s="43">
        <f t="shared" si="4"/>
        <v>2090.41326755</v>
      </c>
      <c r="G25" s="43">
        <f t="shared" si="4"/>
        <v>2158.1968302435075</v>
      </c>
      <c r="H25" s="43">
        <f t="shared" si="4"/>
        <v>8383.9155808935066</v>
      </c>
      <c r="I25" s="43">
        <f t="shared" si="4"/>
        <v>2183.91735651</v>
      </c>
      <c r="J25" s="43">
        <f t="shared" si="4"/>
        <v>2258.4006343699998</v>
      </c>
      <c r="K25" s="43">
        <f t="shared" si="4"/>
        <v>2193.36866663</v>
      </c>
      <c r="L25" s="43">
        <f t="shared" si="4"/>
        <v>2174.6095777319483</v>
      </c>
      <c r="M25" s="43">
        <f t="shared" si="4"/>
        <v>8810.2962352419472</v>
      </c>
      <c r="N25" s="43">
        <f t="shared" si="4"/>
        <v>2109.4405264579796</v>
      </c>
      <c r="O25" s="43">
        <f t="shared" si="4"/>
        <v>2038.6458329499999</v>
      </c>
      <c r="P25" s="43">
        <f t="shared" si="4"/>
        <v>2060.4201845620214</v>
      </c>
      <c r="Q25" s="43">
        <f t="shared" si="4"/>
        <v>2129.9229730499997</v>
      </c>
      <c r="R25" s="43">
        <f t="shared" si="4"/>
        <v>8338.4295170200003</v>
      </c>
      <c r="S25" s="43">
        <f t="shared" si="4"/>
        <v>2209.8814368000003</v>
      </c>
      <c r="T25" s="43">
        <f t="shared" si="4"/>
        <v>2169.7425122</v>
      </c>
      <c r="U25" s="43">
        <f t="shared" si="4"/>
        <v>2161.2650501000003</v>
      </c>
      <c r="V25" s="43">
        <f>SUM(V7:V23)</f>
        <v>2148.8218835999996</v>
      </c>
      <c r="W25" s="43">
        <f>SUM(W7:W23)</f>
        <v>8689.7108827000011</v>
      </c>
      <c r="X25" s="43">
        <f>SUM(X7:X23)</f>
        <v>2175.8455431000007</v>
      </c>
      <c r="Y25" s="43">
        <f>SUM(Y7:Y23)</f>
        <v>2213.545392</v>
      </c>
      <c r="Z25" s="43">
        <f>SUM(Z7:Z23)</f>
        <v>2226.9399810999998</v>
      </c>
      <c r="AA25" s="43">
        <f>SUM(AA7:AA24)</f>
        <v>2249.5468977000005</v>
      </c>
      <c r="AB25" s="43">
        <f>SUM(AB7:AB24)</f>
        <v>8865.8778139000005</v>
      </c>
      <c r="AC25" s="43">
        <v>2306.1271999999999</v>
      </c>
    </row>
    <row r="26" spans="1:29" s="38" customFormat="1" x14ac:dyDescent="0.3">
      <c r="A26" s="37"/>
      <c r="B26" s="37" t="s">
        <v>176</v>
      </c>
      <c r="C26" s="37" t="s">
        <v>229</v>
      </c>
      <c r="D26" s="86">
        <v>3.3047219999999999</v>
      </c>
      <c r="E26" s="86">
        <v>2.4995579999999973</v>
      </c>
      <c r="F26" s="86">
        <v>3.3822880000000017</v>
      </c>
      <c r="G26" s="86">
        <v>6.1160839999999972</v>
      </c>
      <c r="H26" s="86">
        <f t="shared" si="0"/>
        <v>15.302651999999995</v>
      </c>
      <c r="I26" s="86">
        <v>5.5897050000000004</v>
      </c>
      <c r="J26" s="86">
        <v>3.3971820000000097</v>
      </c>
      <c r="K26" s="86">
        <v>2.5608809999999997</v>
      </c>
      <c r="L26" s="86">
        <v>2.983813</v>
      </c>
      <c r="M26" s="86">
        <f t="shared" si="1"/>
        <v>14.53158100000001</v>
      </c>
      <c r="N26" s="86">
        <v>5.0308529999999996</v>
      </c>
      <c r="O26" s="86">
        <v>5.679702000000006</v>
      </c>
      <c r="P26" s="86">
        <v>5.629494999999995</v>
      </c>
      <c r="Q26" s="86">
        <v>4.7363329999999983</v>
      </c>
      <c r="R26" s="86">
        <f t="shared" si="2"/>
        <v>21.076383</v>
      </c>
      <c r="S26" s="86">
        <v>6.1917321000000003</v>
      </c>
      <c r="T26" s="86">
        <v>6.3180419999999975</v>
      </c>
      <c r="U26" s="86">
        <v>9.9792930000000055</v>
      </c>
      <c r="V26" s="86">
        <v>9.0489328999999969</v>
      </c>
      <c r="W26" s="86">
        <f>SUM(S26:V26)</f>
        <v>31.538</v>
      </c>
      <c r="X26" s="86">
        <v>9.2745999999999693</v>
      </c>
      <c r="Y26" s="86">
        <v>11.833386000000029</v>
      </c>
      <c r="Z26" s="38">
        <v>15.896277000000001</v>
      </c>
      <c r="AA26" s="38">
        <v>9.4220490000000048</v>
      </c>
      <c r="AB26" s="38">
        <v>46.42631200000001</v>
      </c>
      <c r="AC26" s="38">
        <v>10.532066000000002</v>
      </c>
    </row>
    <row r="27" spans="1:29" s="40" customFormat="1" x14ac:dyDescent="0.3">
      <c r="A27" s="39"/>
      <c r="B27" s="39" t="s">
        <v>177</v>
      </c>
      <c r="C27" s="39" t="s">
        <v>242</v>
      </c>
      <c r="D27" s="87">
        <v>1.421252561</v>
      </c>
      <c r="E27" s="87">
        <v>0.78589999999999993</v>
      </c>
      <c r="F27" s="87">
        <v>0.76664250872000006</v>
      </c>
      <c r="G27" s="87">
        <v>0.52446046118999989</v>
      </c>
      <c r="H27" s="86">
        <f t="shared" si="0"/>
        <v>3.4982555309099999</v>
      </c>
      <c r="I27" s="87">
        <v>0.52590527808999987</v>
      </c>
      <c r="J27" s="87">
        <v>0.88673475003000002</v>
      </c>
      <c r="K27" s="87">
        <v>0.36421100000000001</v>
      </c>
      <c r="L27" s="87">
        <v>0</v>
      </c>
      <c r="M27" s="86">
        <f t="shared" si="1"/>
        <v>1.7768510281199998</v>
      </c>
      <c r="N27" s="87">
        <v>0</v>
      </c>
      <c r="O27" s="87">
        <v>0</v>
      </c>
      <c r="P27" s="87">
        <v>0</v>
      </c>
      <c r="Q27" s="86">
        <v>0</v>
      </c>
      <c r="R27" s="86">
        <f t="shared" si="2"/>
        <v>0</v>
      </c>
      <c r="S27" s="87">
        <v>0</v>
      </c>
      <c r="T27" s="87">
        <v>0</v>
      </c>
      <c r="U27" s="87">
        <v>0</v>
      </c>
      <c r="V27" s="87">
        <v>0</v>
      </c>
      <c r="W27" s="86">
        <f>SUM(S27:V27)</f>
        <v>0</v>
      </c>
      <c r="X27" s="87">
        <v>0</v>
      </c>
      <c r="Y27" s="86">
        <v>0</v>
      </c>
      <c r="Z27" s="40">
        <v>0</v>
      </c>
      <c r="AA27" s="40">
        <v>0</v>
      </c>
      <c r="AB27" s="40">
        <v>0</v>
      </c>
      <c r="AC27" s="40">
        <v>0</v>
      </c>
    </row>
    <row r="28" spans="1:29" s="40" customFormat="1" x14ac:dyDescent="0.3">
      <c r="A28" s="39"/>
      <c r="B28" s="39" t="s">
        <v>178</v>
      </c>
      <c r="C28" s="39" t="s">
        <v>230</v>
      </c>
      <c r="D28" s="87">
        <v>3.7353199999999998</v>
      </c>
      <c r="E28" s="87">
        <v>4.0453999999999999</v>
      </c>
      <c r="F28" s="87">
        <v>2.5662599999999998</v>
      </c>
      <c r="G28" s="87">
        <v>2.3544399999999999</v>
      </c>
      <c r="H28" s="86">
        <f t="shared" si="0"/>
        <v>12.701419999999999</v>
      </c>
      <c r="I28" s="87">
        <v>4.7572599999999996</v>
      </c>
      <c r="J28" s="87">
        <v>4.3530599999999993</v>
      </c>
      <c r="K28" s="87">
        <v>4.2882600000000002</v>
      </c>
      <c r="L28" s="87">
        <v>5.7766599999999997</v>
      </c>
      <c r="M28" s="86">
        <f t="shared" si="1"/>
        <v>19.175239999999999</v>
      </c>
      <c r="N28" s="87">
        <v>4.2494199999999998</v>
      </c>
      <c r="O28" s="87">
        <v>4.9889073718999661</v>
      </c>
      <c r="P28" s="87">
        <v>6.0110599999999996</v>
      </c>
      <c r="Q28" s="86">
        <v>7.1917409400000007</v>
      </c>
      <c r="R28" s="86">
        <f t="shared" si="2"/>
        <v>22.441128311899966</v>
      </c>
      <c r="S28" s="87">
        <v>3.9859999999999998</v>
      </c>
      <c r="T28" s="87">
        <v>3.8378800000000002</v>
      </c>
      <c r="U28" s="87">
        <v>3.8957599999999983</v>
      </c>
      <c r="V28" s="87">
        <v>1.82378</v>
      </c>
      <c r="W28" s="86">
        <f>SUM(S28:V28)</f>
        <v>13.543419999999998</v>
      </c>
      <c r="X28" s="87">
        <v>3.7060399999999998</v>
      </c>
      <c r="Y28" s="86">
        <v>3.0896399999999993</v>
      </c>
      <c r="Z28" s="40">
        <v>0</v>
      </c>
      <c r="AA28" s="40">
        <v>0</v>
      </c>
      <c r="AB28" s="40">
        <v>6.7956799999999991</v>
      </c>
      <c r="AC28" s="40">
        <v>0</v>
      </c>
    </row>
    <row r="29" spans="1:29" s="40" customFormat="1" x14ac:dyDescent="0.3">
      <c r="A29" s="39"/>
      <c r="B29" s="39" t="s">
        <v>179</v>
      </c>
      <c r="C29" s="39" t="s">
        <v>231</v>
      </c>
      <c r="D29" s="87">
        <v>16.610189999999999</v>
      </c>
      <c r="E29" s="87">
        <v>19.643999999999998</v>
      </c>
      <c r="F29" s="87">
        <v>18.13242</v>
      </c>
      <c r="G29" s="87">
        <v>16.131619999999998</v>
      </c>
      <c r="H29" s="86">
        <f t="shared" si="0"/>
        <v>70.518229999999988</v>
      </c>
      <c r="I29" s="87">
        <v>13.295999999999999</v>
      </c>
      <c r="J29" s="87">
        <v>15.775</v>
      </c>
      <c r="K29" s="87">
        <v>16.471</v>
      </c>
      <c r="L29" s="87">
        <v>15.071999999999999</v>
      </c>
      <c r="M29" s="86">
        <f t="shared" si="1"/>
        <v>60.614000000000004</v>
      </c>
      <c r="N29" s="87">
        <v>18.5700957</v>
      </c>
      <c r="O29" s="87">
        <v>17.805714600000023</v>
      </c>
      <c r="P29" s="87">
        <v>16.961756099999988</v>
      </c>
      <c r="Q29" s="86">
        <v>15.160394200000027</v>
      </c>
      <c r="R29" s="86">
        <f t="shared" si="2"/>
        <v>68.497960600000042</v>
      </c>
      <c r="S29" s="87">
        <v>15.502461320000004</v>
      </c>
      <c r="T29" s="87">
        <v>20.840637499999993</v>
      </c>
      <c r="U29" s="87">
        <v>22.857180999999969</v>
      </c>
      <c r="V29" s="87">
        <v>24.804029099999937</v>
      </c>
      <c r="W29" s="86">
        <f>SUM(S29:V29)</f>
        <v>84.0043089199999</v>
      </c>
      <c r="X29" s="87">
        <v>22.4478784</v>
      </c>
      <c r="Y29" s="86">
        <v>18.972243529999993</v>
      </c>
      <c r="Z29" s="40">
        <v>17.208838600000014</v>
      </c>
      <c r="AA29" s="40">
        <v>18.2523585</v>
      </c>
      <c r="AB29" s="40">
        <v>76.881148030000006</v>
      </c>
      <c r="AC29" s="40">
        <v>18.850620600000003</v>
      </c>
    </row>
    <row r="30" spans="1:29" s="40" customFormat="1" x14ac:dyDescent="0.3">
      <c r="A30" s="39"/>
      <c r="B30" s="39" t="s">
        <v>180</v>
      </c>
      <c r="C30" s="39" t="s">
        <v>232</v>
      </c>
      <c r="D30" s="88">
        <v>4.0530799999999999E-2</v>
      </c>
      <c r="E30" s="88">
        <v>8.9400000000000007E-2</v>
      </c>
      <c r="F30" s="88">
        <v>0.127920215</v>
      </c>
      <c r="G30" s="88">
        <v>6.3989999999999991E-2</v>
      </c>
      <c r="H30" s="89">
        <f t="shared" si="0"/>
        <v>0.32184101500000001</v>
      </c>
      <c r="I30" s="88">
        <v>1.0840000000000001E-2</v>
      </c>
      <c r="J30" s="88">
        <v>1.3609999999999999E-2</v>
      </c>
      <c r="K30" s="88">
        <v>3.9679499999999999E-2</v>
      </c>
      <c r="L30" s="88">
        <v>2.2040000000000001E-2</v>
      </c>
      <c r="M30" s="89">
        <f t="shared" si="1"/>
        <v>8.616950000000001E-2</v>
      </c>
      <c r="N30" s="88">
        <v>7.2035800000000011E-2</v>
      </c>
      <c r="O30" s="88">
        <v>2.3972500000000001E-2</v>
      </c>
      <c r="P30" s="88">
        <v>3.3328700000000003E-2</v>
      </c>
      <c r="Q30" s="89">
        <v>7.1130000000000004E-3</v>
      </c>
      <c r="R30" s="89">
        <f t="shared" si="2"/>
        <v>0.13645000000000004</v>
      </c>
      <c r="S30" s="88">
        <v>1.2428000000000001E-3</v>
      </c>
      <c r="T30" s="88">
        <v>1.201E-2</v>
      </c>
      <c r="U30" s="88">
        <v>3.6299999999999961E-3</v>
      </c>
      <c r="V30" s="87">
        <v>6.0800000000000021E-3</v>
      </c>
      <c r="W30" s="90">
        <f>SUM(S30:V30)</f>
        <v>2.2962799999999998E-2</v>
      </c>
      <c r="X30" s="87">
        <v>8.8100000000000001E-3</v>
      </c>
      <c r="Y30" s="86">
        <v>0</v>
      </c>
      <c r="Z30" s="40">
        <v>0</v>
      </c>
      <c r="AA30" s="40">
        <v>0</v>
      </c>
      <c r="AB30" s="40">
        <v>0</v>
      </c>
      <c r="AC30" s="40">
        <v>0</v>
      </c>
    </row>
    <row r="31" spans="1:29" s="44" customFormat="1" x14ac:dyDescent="0.3">
      <c r="B31" s="44" t="s">
        <v>175</v>
      </c>
      <c r="C31" s="44" t="s">
        <v>187</v>
      </c>
      <c r="D31" s="91">
        <f t="shared" ref="D31:O31" si="5">SUM(D26:D30)</f>
        <v>25.112015360999997</v>
      </c>
      <c r="E31" s="91">
        <f t="shared" si="5"/>
        <v>27.064257999999999</v>
      </c>
      <c r="F31" s="91">
        <f t="shared" si="5"/>
        <v>24.975530723720002</v>
      </c>
      <c r="G31" s="91">
        <f t="shared" si="5"/>
        <v>25.190594461189995</v>
      </c>
      <c r="H31" s="91">
        <f t="shared" si="0"/>
        <v>102.34239854590999</v>
      </c>
      <c r="I31" s="91">
        <f t="shared" si="5"/>
        <v>24.179710278089999</v>
      </c>
      <c r="J31" s="91">
        <f t="shared" si="5"/>
        <v>24.425586750030007</v>
      </c>
      <c r="K31" s="91">
        <f t="shared" si="5"/>
        <v>23.724031499999999</v>
      </c>
      <c r="L31" s="91">
        <f t="shared" si="5"/>
        <v>23.854513000000001</v>
      </c>
      <c r="M31" s="91">
        <f t="shared" si="1"/>
        <v>96.183841528119999</v>
      </c>
      <c r="N31" s="91">
        <f t="shared" si="5"/>
        <v>27.922404499999995</v>
      </c>
      <c r="O31" s="91">
        <f t="shared" si="5"/>
        <v>28.498296471899994</v>
      </c>
      <c r="P31" s="91">
        <v>28.6356398</v>
      </c>
      <c r="Q31" s="91">
        <f>SUM(Q26:Q30)</f>
        <v>27.095581140000025</v>
      </c>
      <c r="R31" s="91">
        <f t="shared" si="2"/>
        <v>112.1519219119</v>
      </c>
      <c r="S31" s="91">
        <f t="shared" ref="S31:W31" si="6">SUM(S26:S30)</f>
        <v>25.681436220000002</v>
      </c>
      <c r="T31" s="91">
        <f t="shared" si="6"/>
        <v>31.008569499999989</v>
      </c>
      <c r="U31" s="91">
        <f t="shared" si="6"/>
        <v>36.735863999999978</v>
      </c>
      <c r="V31" s="91">
        <f t="shared" si="6"/>
        <v>35.682821999999931</v>
      </c>
      <c r="W31" s="91">
        <f t="shared" si="6"/>
        <v>129.10869171999988</v>
      </c>
      <c r="X31" s="91">
        <f>SUM(X26:X30)</f>
        <v>35.43732839999997</v>
      </c>
      <c r="Y31" s="91">
        <f>SUM(Y26:Y30)</f>
        <v>33.895269530000022</v>
      </c>
      <c r="Z31" s="91">
        <f>SUM(Z26:Z30)</f>
        <v>33.105115600000019</v>
      </c>
      <c r="AA31" s="44">
        <f>SUM(AA26:AA30)</f>
        <v>27.674407500000004</v>
      </c>
      <c r="AB31" s="44">
        <f>SUM(AB26:AB30)</f>
        <v>130.10314003000002</v>
      </c>
      <c r="AC31" s="44">
        <v>29.382686600000007</v>
      </c>
    </row>
    <row r="32" spans="1:29" s="45" customFormat="1" ht="14.5" x14ac:dyDescent="0.35">
      <c r="B32" s="46" t="s">
        <v>222</v>
      </c>
      <c r="C32" s="46" t="s">
        <v>221</v>
      </c>
      <c r="D32" s="45">
        <f t="shared" ref="D32:N32" si="7">SUM(D31,D25)</f>
        <v>2112.318921861</v>
      </c>
      <c r="E32" s="45">
        <f t="shared" si="7"/>
        <v>2075.1628345999998</v>
      </c>
      <c r="F32" s="45">
        <f t="shared" si="7"/>
        <v>2115.3887982737201</v>
      </c>
      <c r="G32" s="45">
        <f t="shared" si="7"/>
        <v>2183.3874247046974</v>
      </c>
      <c r="H32" s="45">
        <f t="shared" si="0"/>
        <v>8486.2579794394169</v>
      </c>
      <c r="I32" s="45">
        <f t="shared" si="7"/>
        <v>2208.0970667880902</v>
      </c>
      <c r="J32" s="45">
        <f t="shared" si="7"/>
        <v>2282.8262211200299</v>
      </c>
      <c r="K32" s="45">
        <f t="shared" si="7"/>
        <v>2217.0926981299999</v>
      </c>
      <c r="L32" s="45">
        <f t="shared" si="7"/>
        <v>2198.4640907319485</v>
      </c>
      <c r="M32" s="45">
        <f t="shared" si="1"/>
        <v>8906.480076770069</v>
      </c>
      <c r="N32" s="45">
        <f t="shared" si="7"/>
        <v>2137.3629309579796</v>
      </c>
      <c r="O32" s="45">
        <f>SUM(O31,O25)</f>
        <v>2067.1441294218998</v>
      </c>
      <c r="P32" s="45">
        <f>SUM(P31,P25)</f>
        <v>2089.0558243620212</v>
      </c>
      <c r="Q32" s="45">
        <f>SUM(Q31,Q25)</f>
        <v>2157.0185541899996</v>
      </c>
      <c r="R32" s="45">
        <f t="shared" si="2"/>
        <v>8450.5814389319003</v>
      </c>
      <c r="S32" s="45">
        <f>SUM(S31,S25)</f>
        <v>2235.5628730200001</v>
      </c>
      <c r="T32" s="45">
        <f>SUM(T31,T25)</f>
        <v>2200.7510816999998</v>
      </c>
      <c r="U32" s="45">
        <f>SUM(U31,U25)</f>
        <v>2198.0009141</v>
      </c>
      <c r="V32" s="45">
        <f>SUM(V31,V25)</f>
        <v>2184.5047055999994</v>
      </c>
      <c r="W32" s="45">
        <f>SUM(S32:V32)</f>
        <v>8818.8195744199984</v>
      </c>
      <c r="X32" s="45">
        <f>SUM(X31,X25)</f>
        <v>2211.2828715000005</v>
      </c>
      <c r="Y32" s="45">
        <f>SUM(Y31,Y25)</f>
        <v>2247.4406615299999</v>
      </c>
      <c r="Z32" s="45">
        <f>SUM(Z31,Z25)</f>
        <v>2260.0450966999997</v>
      </c>
      <c r="AA32" s="45">
        <f>SUM(AA31,AA25)</f>
        <v>2277.2213052000006</v>
      </c>
      <c r="AB32" s="45">
        <f>SUM(AB31,AB25)</f>
        <v>8995.9809539300004</v>
      </c>
      <c r="AC32" s="45">
        <v>2335.5098865999994</v>
      </c>
    </row>
    <row r="33" spans="1:29" s="49" customFormat="1" x14ac:dyDescent="0.3">
      <c r="A33" s="48"/>
      <c r="B33" s="48" t="s">
        <v>184</v>
      </c>
      <c r="C33" s="48" t="s">
        <v>185</v>
      </c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3"/>
      <c r="Y33" s="156"/>
    </row>
    <row r="34" spans="1:29" s="49" customFormat="1" x14ac:dyDescent="0.3">
      <c r="A34" s="48"/>
      <c r="B34" s="48"/>
      <c r="C34" s="48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9" s="35" customFormat="1" x14ac:dyDescent="0.3">
      <c r="A35" s="5" t="s">
        <v>0</v>
      </c>
      <c r="B35" s="5" t="s">
        <v>181</v>
      </c>
      <c r="C35" s="5" t="s">
        <v>188</v>
      </c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</row>
    <row r="36" spans="1:29" s="47" customFormat="1" x14ac:dyDescent="0.35">
      <c r="B36" s="47" t="s">
        <v>190</v>
      </c>
      <c r="C36" s="47" t="s">
        <v>189</v>
      </c>
      <c r="D36" s="57">
        <v>398737.41440929304</v>
      </c>
      <c r="E36" s="57">
        <v>377831.08963000373</v>
      </c>
      <c r="F36" s="57">
        <v>367308.11118119716</v>
      </c>
      <c r="G36" s="57">
        <v>455657.17516454979</v>
      </c>
      <c r="H36" s="57">
        <v>1599533.7903850437</v>
      </c>
      <c r="I36" s="57">
        <v>553723.65360350627</v>
      </c>
      <c r="J36" s="57">
        <v>547620.16339165997</v>
      </c>
      <c r="K36" s="57">
        <v>588892</v>
      </c>
      <c r="L36" s="57">
        <v>654701.14824038092</v>
      </c>
      <c r="M36" s="57">
        <v>2344936.9652355472</v>
      </c>
      <c r="N36" s="57">
        <v>743652</v>
      </c>
      <c r="O36" s="57">
        <v>702922.60193999996</v>
      </c>
      <c r="P36" s="57">
        <v>752302.17999999993</v>
      </c>
      <c r="Q36" s="57">
        <v>793096.9800000001</v>
      </c>
      <c r="R36" s="57">
        <v>2991973.7619399996</v>
      </c>
      <c r="S36" s="57">
        <v>843664.38</v>
      </c>
      <c r="T36" s="57">
        <v>873852.08000000007</v>
      </c>
      <c r="U36" s="57">
        <v>872268.60000000009</v>
      </c>
      <c r="V36" s="57">
        <v>871843.27999999991</v>
      </c>
      <c r="W36" s="57">
        <v>3461628.34</v>
      </c>
      <c r="X36" s="57">
        <v>888673.79999999993</v>
      </c>
      <c r="Y36" s="57">
        <v>864368.94</v>
      </c>
      <c r="Z36" s="57">
        <v>819192.24</v>
      </c>
      <c r="AA36" s="57">
        <v>670489.53999999992</v>
      </c>
      <c r="AB36" s="57">
        <v>3242724.52</v>
      </c>
      <c r="AC36" s="57">
        <v>554709.4</v>
      </c>
    </row>
    <row r="37" spans="1:29" s="51" customFormat="1" x14ac:dyDescent="0.3">
      <c r="A37" s="58"/>
      <c r="B37" s="58"/>
      <c r="C37" s="58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5"/>
      <c r="AA37" s="94"/>
      <c r="AB37" s="94"/>
      <c r="AC37" s="94"/>
    </row>
    <row r="38" spans="1:29" s="35" customFormat="1" x14ac:dyDescent="0.3">
      <c r="A38" s="5" t="s">
        <v>0</v>
      </c>
      <c r="B38" s="5" t="s">
        <v>198</v>
      </c>
      <c r="C38" s="5" t="s">
        <v>200</v>
      </c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AA38" s="85"/>
      <c r="AB38" s="85"/>
      <c r="AC38" s="85"/>
    </row>
    <row r="39" spans="1:29" s="57" customFormat="1" x14ac:dyDescent="0.35">
      <c r="A39" s="47"/>
      <c r="B39" s="56" t="s">
        <v>235</v>
      </c>
      <c r="C39" s="47" t="s">
        <v>199</v>
      </c>
      <c r="D39" s="57">
        <v>31629.290652462299</v>
      </c>
      <c r="E39" s="57">
        <v>32084.8197862169</v>
      </c>
      <c r="F39" s="57">
        <v>31840.591112128299</v>
      </c>
      <c r="G39" s="57">
        <v>33721.106726217411</v>
      </c>
      <c r="H39" s="57">
        <v>32318.95206925624</v>
      </c>
      <c r="I39" s="57">
        <v>38614.29933107151</v>
      </c>
      <c r="J39" s="57">
        <v>38652.515830355274</v>
      </c>
      <c r="K39" s="57">
        <v>43882.2</v>
      </c>
      <c r="L39" s="57">
        <v>49106.270298865515</v>
      </c>
      <c r="M39" s="57">
        <v>42563.821365073076</v>
      </c>
      <c r="N39" s="57">
        <v>52061</v>
      </c>
      <c r="O39" s="57">
        <v>55223.861175446349</v>
      </c>
      <c r="P39" s="57">
        <v>53762.573821545935</v>
      </c>
      <c r="Q39" s="57">
        <v>56103.340892374181</v>
      </c>
      <c r="R39" s="57">
        <v>54287.693972341614</v>
      </c>
      <c r="S39" s="57">
        <v>60166.635661738794</v>
      </c>
      <c r="T39" s="57">
        <v>62598.733506571087</v>
      </c>
      <c r="U39" s="57">
        <v>62271.209513561524</v>
      </c>
      <c r="V39" s="57">
        <v>62102.013333333336</v>
      </c>
      <c r="W39" s="57">
        <v>61784.648003801172</v>
      </c>
      <c r="X39" s="57">
        <v>60677.856666666659</v>
      </c>
      <c r="Y39" s="57">
        <v>59779.333333333336</v>
      </c>
      <c r="Z39" s="57">
        <v>57361.193526666677</v>
      </c>
      <c r="AA39" s="57">
        <v>58970.623002488341</v>
      </c>
      <c r="AB39" s="57">
        <v>59197.251632288753</v>
      </c>
      <c r="AC39" s="57">
        <v>52520.657599999999</v>
      </c>
    </row>
    <row r="40" spans="1:29" s="49" customFormat="1" x14ac:dyDescent="0.3">
      <c r="A40" s="48"/>
      <c r="B40" s="48"/>
      <c r="C40" s="48"/>
      <c r="D40" s="93"/>
      <c r="E40" s="93"/>
      <c r="F40" s="93"/>
      <c r="G40" s="93"/>
      <c r="H40" s="96"/>
      <c r="I40" s="93"/>
      <c r="J40" s="93"/>
      <c r="K40" s="96"/>
      <c r="L40" s="96"/>
      <c r="M40" s="96"/>
      <c r="N40" s="96"/>
      <c r="O40" s="96"/>
      <c r="P40" s="96"/>
      <c r="Q40" s="96"/>
      <c r="R40" s="94"/>
      <c r="S40" s="93"/>
      <c r="T40" s="94"/>
      <c r="U40" s="97"/>
      <c r="V40" s="97"/>
      <c r="W40" s="94"/>
      <c r="X40" s="93"/>
      <c r="AA40" s="93"/>
      <c r="AB40" s="93"/>
      <c r="AC40" s="93"/>
    </row>
    <row r="41" spans="1:29" s="35" customFormat="1" x14ac:dyDescent="0.3">
      <c r="A41" s="5" t="s">
        <v>0</v>
      </c>
      <c r="B41" s="5" t="s">
        <v>182</v>
      </c>
      <c r="C41" s="5" t="s">
        <v>191</v>
      </c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AA41" s="85"/>
      <c r="AB41" s="85"/>
      <c r="AC41" s="85"/>
    </row>
    <row r="42" spans="1:29" s="47" customFormat="1" x14ac:dyDescent="0.3">
      <c r="A42" s="21" t="s">
        <v>0</v>
      </c>
      <c r="B42" s="21" t="s">
        <v>183</v>
      </c>
      <c r="C42" s="21" t="s">
        <v>192</v>
      </c>
      <c r="D42" s="57">
        <v>36586.584000000003</v>
      </c>
      <c r="E42" s="57">
        <v>36978.805</v>
      </c>
      <c r="F42" s="57">
        <v>47454.756549999998</v>
      </c>
      <c r="G42" s="57">
        <v>54137.754644999994</v>
      </c>
      <c r="H42" s="57">
        <v>175157.90019499997</v>
      </c>
      <c r="I42" s="57">
        <v>43607.016000000003</v>
      </c>
      <c r="J42" s="57">
        <v>66835.431907472914</v>
      </c>
      <c r="K42" s="57">
        <v>96823.8</v>
      </c>
      <c r="L42" s="57">
        <v>100343.07800000001</v>
      </c>
      <c r="M42" s="57">
        <v>307609.32590747287</v>
      </c>
      <c r="N42" s="57">
        <v>94524</v>
      </c>
      <c r="O42" s="57">
        <v>100744.18405906032</v>
      </c>
      <c r="P42" s="57">
        <v>99428.214396800002</v>
      </c>
      <c r="Q42" s="57">
        <v>103741.6026</v>
      </c>
      <c r="R42" s="57">
        <v>398438.00105586031</v>
      </c>
      <c r="S42" s="57">
        <v>97772.38698725107</v>
      </c>
      <c r="T42" s="57">
        <v>96313.195508030229</v>
      </c>
      <c r="U42" s="57">
        <v>94213.921000000002</v>
      </c>
      <c r="V42" s="57">
        <v>96129.135999999999</v>
      </c>
      <c r="W42" s="57">
        <v>384428.63949528133</v>
      </c>
      <c r="X42" s="57">
        <v>83591.310000000012</v>
      </c>
      <c r="Y42" s="57">
        <v>79397.94</v>
      </c>
      <c r="Z42" s="57">
        <v>79268.942536170027</v>
      </c>
      <c r="AA42" s="57">
        <v>64259.014441224062</v>
      </c>
      <c r="AB42" s="57">
        <v>306517.20697739412</v>
      </c>
      <c r="AC42" s="57">
        <v>23607.595999999998</v>
      </c>
    </row>
    <row r="43" spans="1:29" s="53" customFormat="1" x14ac:dyDescent="0.3">
      <c r="A43" s="48"/>
      <c r="B43" s="49"/>
      <c r="C43" s="49"/>
      <c r="D43" s="93"/>
      <c r="E43" s="93"/>
      <c r="F43" s="93"/>
      <c r="G43" s="93"/>
      <c r="H43" s="94"/>
      <c r="I43" s="94"/>
      <c r="J43" s="94"/>
      <c r="K43" s="94"/>
      <c r="L43" s="94"/>
      <c r="M43" s="94"/>
      <c r="N43" s="94"/>
      <c r="O43" s="93"/>
      <c r="P43" s="94"/>
      <c r="Q43" s="94"/>
      <c r="R43" s="94"/>
      <c r="S43" s="96"/>
      <c r="T43" s="94"/>
      <c r="U43" s="94"/>
      <c r="V43" s="94"/>
      <c r="W43" s="94"/>
      <c r="X43" s="97"/>
    </row>
    <row r="44" spans="1:29" s="54" customFormat="1" x14ac:dyDescent="0.3">
      <c r="A44" s="21" t="s">
        <v>0</v>
      </c>
      <c r="B44" s="21" t="s">
        <v>194</v>
      </c>
      <c r="C44" s="21" t="s">
        <v>195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</row>
    <row r="45" spans="1:29" s="55" customFormat="1" x14ac:dyDescent="0.3">
      <c r="A45" s="24"/>
      <c r="B45" s="52" t="s">
        <v>162</v>
      </c>
      <c r="C45" s="52" t="s">
        <v>276</v>
      </c>
      <c r="D45" s="99">
        <v>1</v>
      </c>
      <c r="E45" s="99">
        <v>1</v>
      </c>
      <c r="F45" s="99">
        <v>1</v>
      </c>
      <c r="G45" s="99">
        <v>1</v>
      </c>
      <c r="H45" s="99">
        <v>1</v>
      </c>
      <c r="I45" s="99">
        <v>1</v>
      </c>
      <c r="J45" s="99">
        <v>1</v>
      </c>
      <c r="K45" s="99">
        <v>1</v>
      </c>
      <c r="L45" s="99">
        <v>1</v>
      </c>
      <c r="M45" s="99">
        <v>1</v>
      </c>
      <c r="N45" s="99">
        <v>1</v>
      </c>
      <c r="O45" s="99">
        <v>1</v>
      </c>
      <c r="P45" s="99">
        <v>1</v>
      </c>
      <c r="Q45" s="99">
        <v>1</v>
      </c>
      <c r="R45" s="99">
        <v>1</v>
      </c>
      <c r="S45" s="99">
        <v>1</v>
      </c>
      <c r="T45" s="99">
        <v>1</v>
      </c>
      <c r="U45" s="99">
        <v>1</v>
      </c>
      <c r="V45" s="99">
        <v>1</v>
      </c>
      <c r="W45" s="99">
        <v>1</v>
      </c>
      <c r="X45" s="99">
        <v>1</v>
      </c>
      <c r="Y45" s="99">
        <v>1</v>
      </c>
      <c r="Z45" s="99">
        <v>1</v>
      </c>
      <c r="AA45" s="99">
        <v>1</v>
      </c>
      <c r="AB45" s="99">
        <v>1</v>
      </c>
      <c r="AC45" s="99">
        <v>1</v>
      </c>
    </row>
    <row r="46" spans="1:29" s="55" customFormat="1" x14ac:dyDescent="0.3">
      <c r="A46" s="24"/>
      <c r="B46" s="50" t="s">
        <v>163</v>
      </c>
      <c r="C46" s="50" t="s">
        <v>277</v>
      </c>
      <c r="D46" s="99">
        <v>0.67</v>
      </c>
      <c r="E46" s="99">
        <v>0.67</v>
      </c>
      <c r="F46" s="99">
        <v>0.67</v>
      </c>
      <c r="G46" s="99">
        <v>0.67</v>
      </c>
      <c r="H46" s="99">
        <v>0.67</v>
      </c>
      <c r="I46" s="99">
        <v>0.67</v>
      </c>
      <c r="J46" s="99">
        <v>0.67</v>
      </c>
      <c r="K46" s="99">
        <v>0.67</v>
      </c>
      <c r="L46" s="99">
        <v>0.67</v>
      </c>
      <c r="M46" s="99">
        <v>0.67</v>
      </c>
      <c r="N46" s="99">
        <v>0.67</v>
      </c>
      <c r="O46" s="99">
        <v>0.67</v>
      </c>
      <c r="P46" s="99">
        <v>0.67</v>
      </c>
      <c r="Q46" s="99">
        <v>0.67</v>
      </c>
      <c r="R46" s="99">
        <v>0.67</v>
      </c>
      <c r="S46" s="99">
        <v>0.67</v>
      </c>
      <c r="T46" s="99">
        <v>0.67</v>
      </c>
      <c r="U46" s="99">
        <v>0.67</v>
      </c>
      <c r="V46" s="99">
        <v>0.67</v>
      </c>
      <c r="W46" s="99">
        <v>0.67</v>
      </c>
      <c r="X46" s="99">
        <v>0.67</v>
      </c>
      <c r="Y46" s="99">
        <v>0.67</v>
      </c>
      <c r="Z46" s="99">
        <v>0.67</v>
      </c>
      <c r="AA46" s="99">
        <v>0.67</v>
      </c>
      <c r="AB46" s="99">
        <v>0.67</v>
      </c>
      <c r="AC46" s="99">
        <v>0.67</v>
      </c>
    </row>
    <row r="47" spans="1:29" s="55" customFormat="1" x14ac:dyDescent="0.3">
      <c r="A47" s="24"/>
      <c r="B47" s="52" t="s">
        <v>348</v>
      </c>
      <c r="C47" s="52" t="s">
        <v>349</v>
      </c>
      <c r="D47" s="99">
        <v>1</v>
      </c>
      <c r="E47" s="99">
        <v>1</v>
      </c>
      <c r="F47" s="99">
        <v>1</v>
      </c>
      <c r="G47" s="99">
        <v>1</v>
      </c>
      <c r="H47" s="99">
        <v>1</v>
      </c>
      <c r="I47" s="99">
        <v>1</v>
      </c>
      <c r="J47" s="99">
        <v>1</v>
      </c>
      <c r="K47" s="99">
        <v>1</v>
      </c>
      <c r="L47" s="99">
        <v>1</v>
      </c>
      <c r="M47" s="99">
        <v>1</v>
      </c>
      <c r="N47" s="99">
        <v>1</v>
      </c>
      <c r="O47" s="99">
        <v>1</v>
      </c>
      <c r="P47" s="99">
        <v>1</v>
      </c>
      <c r="Q47" s="99">
        <v>1</v>
      </c>
      <c r="R47" s="99">
        <v>1</v>
      </c>
      <c r="S47" s="99">
        <v>1</v>
      </c>
      <c r="T47" s="99">
        <v>1</v>
      </c>
      <c r="U47" s="99">
        <v>1</v>
      </c>
      <c r="V47" s="99">
        <v>1</v>
      </c>
      <c r="W47" s="99">
        <v>1</v>
      </c>
      <c r="X47" s="99">
        <v>1</v>
      </c>
      <c r="Y47" s="99">
        <v>1</v>
      </c>
      <c r="Z47" s="99">
        <v>1</v>
      </c>
      <c r="AA47" s="99">
        <v>1</v>
      </c>
      <c r="AB47" s="99">
        <v>1</v>
      </c>
      <c r="AC47" s="99">
        <v>1</v>
      </c>
    </row>
    <row r="48" spans="1:29" s="55" customFormat="1" x14ac:dyDescent="0.3">
      <c r="A48" s="24"/>
      <c r="B48" s="50" t="s">
        <v>164</v>
      </c>
      <c r="C48" s="50" t="s">
        <v>278</v>
      </c>
      <c r="D48" s="99">
        <v>1</v>
      </c>
      <c r="E48" s="99">
        <v>1</v>
      </c>
      <c r="F48" s="99">
        <v>1</v>
      </c>
      <c r="G48" s="99">
        <v>1</v>
      </c>
      <c r="H48" s="99">
        <v>1</v>
      </c>
      <c r="I48" s="99">
        <v>1</v>
      </c>
      <c r="J48" s="99">
        <v>1</v>
      </c>
      <c r="K48" s="99">
        <v>1</v>
      </c>
      <c r="L48" s="99">
        <v>1</v>
      </c>
      <c r="M48" s="99">
        <v>1</v>
      </c>
      <c r="N48" s="99">
        <v>1</v>
      </c>
      <c r="O48" s="99">
        <v>1</v>
      </c>
      <c r="P48" s="99">
        <v>1</v>
      </c>
      <c r="Q48" s="99">
        <v>1</v>
      </c>
      <c r="R48" s="99">
        <v>1</v>
      </c>
      <c r="S48" s="99">
        <v>1</v>
      </c>
      <c r="T48" s="99">
        <v>1</v>
      </c>
      <c r="U48" s="99">
        <v>1</v>
      </c>
      <c r="V48" s="99">
        <v>1</v>
      </c>
      <c r="W48" s="99">
        <v>1</v>
      </c>
      <c r="X48" s="99">
        <v>1</v>
      </c>
      <c r="Y48" s="99">
        <v>1</v>
      </c>
      <c r="Z48" s="99">
        <v>1</v>
      </c>
      <c r="AA48" s="99">
        <v>1</v>
      </c>
      <c r="AB48" s="99">
        <v>1</v>
      </c>
      <c r="AC48" s="99">
        <v>1</v>
      </c>
    </row>
    <row r="49" spans="1:29" s="55" customFormat="1" x14ac:dyDescent="0.3">
      <c r="A49" s="24"/>
      <c r="B49" s="52" t="s">
        <v>165</v>
      </c>
      <c r="C49" s="52" t="s">
        <v>279</v>
      </c>
      <c r="D49" s="99">
        <v>1</v>
      </c>
      <c r="E49" s="99">
        <v>1</v>
      </c>
      <c r="F49" s="99">
        <v>1</v>
      </c>
      <c r="G49" s="99">
        <v>1</v>
      </c>
      <c r="H49" s="99">
        <v>1</v>
      </c>
      <c r="I49" s="99">
        <v>1</v>
      </c>
      <c r="J49" s="99">
        <v>1</v>
      </c>
      <c r="K49" s="99">
        <v>1</v>
      </c>
      <c r="L49" s="99">
        <v>1</v>
      </c>
      <c r="M49" s="99">
        <v>1</v>
      </c>
      <c r="N49" s="99">
        <v>1</v>
      </c>
      <c r="O49" s="99">
        <v>1</v>
      </c>
      <c r="P49" s="99">
        <v>1</v>
      </c>
      <c r="Q49" s="99">
        <v>1</v>
      </c>
      <c r="R49" s="99">
        <v>1</v>
      </c>
      <c r="S49" s="99">
        <v>1</v>
      </c>
      <c r="T49" s="99">
        <v>1</v>
      </c>
      <c r="U49" s="99">
        <v>1</v>
      </c>
      <c r="V49" s="99">
        <v>1</v>
      </c>
      <c r="W49" s="99">
        <v>1</v>
      </c>
      <c r="X49" s="99">
        <v>1</v>
      </c>
      <c r="Y49" s="99">
        <v>1</v>
      </c>
      <c r="Z49" s="99">
        <v>1</v>
      </c>
      <c r="AA49" s="99">
        <v>1</v>
      </c>
      <c r="AB49" s="99">
        <v>1</v>
      </c>
      <c r="AC49" s="99">
        <v>1</v>
      </c>
    </row>
    <row r="50" spans="1:29" s="55" customFormat="1" x14ac:dyDescent="0.3">
      <c r="A50" s="24"/>
      <c r="B50" s="50" t="s">
        <v>166</v>
      </c>
      <c r="C50" s="50" t="s">
        <v>280</v>
      </c>
      <c r="D50" s="99" t="s">
        <v>161</v>
      </c>
      <c r="E50" s="99" t="s">
        <v>161</v>
      </c>
      <c r="F50" s="99" t="s">
        <v>161</v>
      </c>
      <c r="G50" s="99" t="s">
        <v>161</v>
      </c>
      <c r="H50" s="99" t="s">
        <v>161</v>
      </c>
      <c r="I50" s="99">
        <v>1</v>
      </c>
      <c r="J50" s="99">
        <v>1</v>
      </c>
      <c r="K50" s="99">
        <v>1</v>
      </c>
      <c r="L50" s="99">
        <v>1</v>
      </c>
      <c r="M50" s="99">
        <v>1</v>
      </c>
      <c r="N50" s="99">
        <v>1</v>
      </c>
      <c r="O50" s="99">
        <v>1</v>
      </c>
      <c r="P50" s="99">
        <v>1</v>
      </c>
      <c r="Q50" s="99">
        <v>1</v>
      </c>
      <c r="R50" s="99">
        <v>1</v>
      </c>
      <c r="S50" s="99">
        <v>1</v>
      </c>
      <c r="T50" s="99">
        <v>1</v>
      </c>
      <c r="U50" s="99">
        <v>1</v>
      </c>
      <c r="V50" s="99">
        <v>1</v>
      </c>
      <c r="W50" s="99">
        <v>1</v>
      </c>
      <c r="X50" s="99">
        <v>1</v>
      </c>
      <c r="Y50" s="99">
        <v>1</v>
      </c>
      <c r="Z50" s="99">
        <v>1</v>
      </c>
      <c r="AA50" s="99">
        <v>1</v>
      </c>
      <c r="AB50" s="99">
        <v>1</v>
      </c>
      <c r="AC50" s="99">
        <v>1</v>
      </c>
    </row>
    <row r="51" spans="1:29" s="55" customFormat="1" x14ac:dyDescent="0.3">
      <c r="A51" s="24"/>
      <c r="B51" s="52" t="s">
        <v>167</v>
      </c>
      <c r="C51" s="52" t="s">
        <v>281</v>
      </c>
      <c r="D51" s="99" t="s">
        <v>161</v>
      </c>
      <c r="E51" s="99" t="s">
        <v>161</v>
      </c>
      <c r="F51" s="99" t="s">
        <v>161</v>
      </c>
      <c r="G51" s="99" t="s">
        <v>161</v>
      </c>
      <c r="H51" s="99" t="s">
        <v>161</v>
      </c>
      <c r="I51" s="99" t="s">
        <v>161</v>
      </c>
      <c r="J51" s="99">
        <v>1</v>
      </c>
      <c r="K51" s="99">
        <v>1</v>
      </c>
      <c r="L51" s="99">
        <v>1</v>
      </c>
      <c r="M51" s="99">
        <v>1</v>
      </c>
      <c r="N51" s="99">
        <v>1</v>
      </c>
      <c r="O51" s="99">
        <v>1</v>
      </c>
      <c r="P51" s="99">
        <v>1</v>
      </c>
      <c r="Q51" s="99">
        <v>1</v>
      </c>
      <c r="R51" s="99">
        <v>1</v>
      </c>
      <c r="S51" s="99">
        <v>1</v>
      </c>
      <c r="T51" s="99">
        <v>1</v>
      </c>
      <c r="U51" s="99">
        <v>1</v>
      </c>
      <c r="V51" s="99">
        <v>1</v>
      </c>
      <c r="W51" s="99">
        <v>1</v>
      </c>
      <c r="X51" s="99">
        <v>1</v>
      </c>
      <c r="Y51" s="99">
        <v>1</v>
      </c>
      <c r="Z51" s="99">
        <v>1</v>
      </c>
      <c r="AA51" s="99">
        <v>1</v>
      </c>
      <c r="AB51" s="99">
        <v>1</v>
      </c>
      <c r="AC51" s="99">
        <v>1</v>
      </c>
    </row>
    <row r="52" spans="1:29" s="55" customFormat="1" x14ac:dyDescent="0.3">
      <c r="A52" s="24"/>
      <c r="B52" s="50" t="s">
        <v>168</v>
      </c>
      <c r="C52" s="50" t="s">
        <v>282</v>
      </c>
      <c r="D52" s="99" t="s">
        <v>161</v>
      </c>
      <c r="E52" s="99" t="s">
        <v>161</v>
      </c>
      <c r="F52" s="99" t="s">
        <v>161</v>
      </c>
      <c r="G52" s="99" t="s">
        <v>161</v>
      </c>
      <c r="H52" s="99" t="s">
        <v>161</v>
      </c>
      <c r="I52" s="99" t="s">
        <v>161</v>
      </c>
      <c r="J52" s="99">
        <v>1</v>
      </c>
      <c r="K52" s="99">
        <v>1</v>
      </c>
      <c r="L52" s="99">
        <v>1</v>
      </c>
      <c r="M52" s="99">
        <v>1</v>
      </c>
      <c r="N52" s="99">
        <v>1</v>
      </c>
      <c r="O52" s="99">
        <v>1</v>
      </c>
      <c r="P52" s="99">
        <v>1</v>
      </c>
      <c r="Q52" s="99">
        <v>1</v>
      </c>
      <c r="R52" s="99">
        <v>1</v>
      </c>
      <c r="S52" s="99">
        <v>1</v>
      </c>
      <c r="T52" s="99">
        <v>1</v>
      </c>
      <c r="U52" s="99">
        <v>1</v>
      </c>
      <c r="V52" s="99">
        <v>1</v>
      </c>
      <c r="W52" s="99">
        <v>1</v>
      </c>
      <c r="X52" s="99">
        <v>1</v>
      </c>
      <c r="Y52" s="99">
        <v>1</v>
      </c>
      <c r="Z52" s="99">
        <v>1</v>
      </c>
      <c r="AA52" s="99">
        <v>1</v>
      </c>
      <c r="AB52" s="99">
        <v>1</v>
      </c>
      <c r="AC52" s="99">
        <v>1</v>
      </c>
    </row>
    <row r="53" spans="1:29" s="55" customFormat="1" x14ac:dyDescent="0.3">
      <c r="A53" s="24"/>
      <c r="B53" s="52" t="s">
        <v>169</v>
      </c>
      <c r="C53" s="52" t="s">
        <v>283</v>
      </c>
      <c r="D53" s="99" t="s">
        <v>161</v>
      </c>
      <c r="E53" s="99" t="s">
        <v>161</v>
      </c>
      <c r="F53" s="99" t="s">
        <v>161</v>
      </c>
      <c r="G53" s="99" t="s">
        <v>161</v>
      </c>
      <c r="H53" s="99" t="s">
        <v>161</v>
      </c>
      <c r="I53" s="99" t="s">
        <v>161</v>
      </c>
      <c r="J53" s="99">
        <v>1</v>
      </c>
      <c r="K53" s="99">
        <v>1</v>
      </c>
      <c r="L53" s="99">
        <v>1</v>
      </c>
      <c r="M53" s="99">
        <v>1</v>
      </c>
      <c r="N53" s="99">
        <v>1</v>
      </c>
      <c r="O53" s="99">
        <v>1</v>
      </c>
      <c r="P53" s="99">
        <v>1</v>
      </c>
      <c r="Q53" s="99">
        <v>1</v>
      </c>
      <c r="R53" s="99">
        <v>1</v>
      </c>
      <c r="S53" s="99">
        <v>1</v>
      </c>
      <c r="T53" s="99">
        <v>1</v>
      </c>
      <c r="U53" s="99">
        <v>1</v>
      </c>
      <c r="V53" s="99">
        <v>1</v>
      </c>
      <c r="W53" s="99">
        <v>1</v>
      </c>
      <c r="X53" s="99">
        <v>1</v>
      </c>
      <c r="Y53" s="99">
        <v>1</v>
      </c>
      <c r="Z53" s="99">
        <v>1</v>
      </c>
      <c r="AA53" s="99">
        <v>1</v>
      </c>
      <c r="AB53" s="99">
        <v>1</v>
      </c>
      <c r="AC53" s="99">
        <v>1</v>
      </c>
    </row>
    <row r="54" spans="1:29" s="55" customFormat="1" x14ac:dyDescent="0.3">
      <c r="A54" s="24"/>
      <c r="B54" s="50" t="s">
        <v>170</v>
      </c>
      <c r="C54" s="50" t="s">
        <v>284</v>
      </c>
      <c r="D54" s="99" t="s">
        <v>161</v>
      </c>
      <c r="E54" s="99">
        <v>1</v>
      </c>
      <c r="F54" s="99">
        <v>1</v>
      </c>
      <c r="G54" s="99">
        <v>1</v>
      </c>
      <c r="H54" s="99">
        <v>1</v>
      </c>
      <c r="I54" s="99">
        <v>1</v>
      </c>
      <c r="J54" s="99">
        <v>1</v>
      </c>
      <c r="K54" s="99">
        <v>1</v>
      </c>
      <c r="L54" s="99">
        <v>1</v>
      </c>
      <c r="M54" s="99">
        <v>1</v>
      </c>
      <c r="N54" s="99">
        <v>1</v>
      </c>
      <c r="O54" s="99">
        <v>1</v>
      </c>
      <c r="P54" s="99">
        <v>1</v>
      </c>
      <c r="Q54" s="99">
        <v>1</v>
      </c>
      <c r="R54" s="99">
        <v>1</v>
      </c>
      <c r="S54" s="99">
        <v>1</v>
      </c>
      <c r="T54" s="99">
        <v>1</v>
      </c>
      <c r="U54" s="99">
        <v>1</v>
      </c>
      <c r="V54" s="99">
        <v>1</v>
      </c>
      <c r="W54" s="99">
        <v>1</v>
      </c>
      <c r="X54" s="99">
        <v>1</v>
      </c>
      <c r="Y54" s="99">
        <v>1</v>
      </c>
      <c r="Z54" s="99">
        <v>1</v>
      </c>
      <c r="AA54" s="99">
        <v>1</v>
      </c>
      <c r="AB54" s="99">
        <v>1</v>
      </c>
      <c r="AC54" s="99">
        <v>1</v>
      </c>
    </row>
    <row r="55" spans="1:29" s="55" customFormat="1" x14ac:dyDescent="0.3">
      <c r="A55" s="24"/>
      <c r="B55" s="52" t="s">
        <v>171</v>
      </c>
      <c r="C55" s="52" t="s">
        <v>285</v>
      </c>
      <c r="D55" s="99" t="s">
        <v>161</v>
      </c>
      <c r="E55" s="99" t="s">
        <v>161</v>
      </c>
      <c r="F55" s="99" t="s">
        <v>161</v>
      </c>
      <c r="G55" s="99" t="s">
        <v>161</v>
      </c>
      <c r="H55" s="99" t="s">
        <v>161</v>
      </c>
      <c r="I55" s="99" t="s">
        <v>161</v>
      </c>
      <c r="J55" s="99" t="s">
        <v>161</v>
      </c>
      <c r="K55" s="99" t="s">
        <v>161</v>
      </c>
      <c r="L55" s="99" t="s">
        <v>161</v>
      </c>
      <c r="M55" s="99" t="s">
        <v>161</v>
      </c>
      <c r="N55" s="99">
        <v>1</v>
      </c>
      <c r="O55" s="99">
        <v>1</v>
      </c>
      <c r="P55" s="99">
        <v>1</v>
      </c>
      <c r="Q55" s="99">
        <v>1</v>
      </c>
      <c r="R55" s="99">
        <v>1</v>
      </c>
      <c r="S55" s="99">
        <v>1</v>
      </c>
      <c r="T55" s="99">
        <v>1</v>
      </c>
      <c r="U55" s="99">
        <v>1</v>
      </c>
      <c r="V55" s="99">
        <v>1</v>
      </c>
      <c r="W55" s="99">
        <v>1</v>
      </c>
      <c r="X55" s="99">
        <v>1</v>
      </c>
      <c r="Y55" s="99">
        <v>1</v>
      </c>
      <c r="Z55" s="99">
        <v>1</v>
      </c>
      <c r="AA55" s="99">
        <v>1</v>
      </c>
      <c r="AB55" s="99">
        <v>1</v>
      </c>
      <c r="AC55" s="99">
        <v>1</v>
      </c>
    </row>
    <row r="56" spans="1:29" s="55" customFormat="1" x14ac:dyDescent="0.3">
      <c r="A56" s="24"/>
      <c r="B56" s="50" t="s">
        <v>172</v>
      </c>
      <c r="C56" s="50" t="s">
        <v>286</v>
      </c>
      <c r="D56" s="99" t="s">
        <v>161</v>
      </c>
      <c r="E56" s="99" t="s">
        <v>161</v>
      </c>
      <c r="F56" s="99" t="s">
        <v>161</v>
      </c>
      <c r="G56" s="99" t="s">
        <v>161</v>
      </c>
      <c r="H56" s="99" t="s">
        <v>161</v>
      </c>
      <c r="I56" s="99" t="s">
        <v>161</v>
      </c>
      <c r="J56" s="99">
        <v>1</v>
      </c>
      <c r="K56" s="99">
        <v>1</v>
      </c>
      <c r="L56" s="99">
        <v>1</v>
      </c>
      <c r="M56" s="99">
        <v>1</v>
      </c>
      <c r="N56" s="99">
        <v>1</v>
      </c>
      <c r="O56" s="99">
        <v>1</v>
      </c>
      <c r="P56" s="99">
        <v>1</v>
      </c>
      <c r="Q56" s="99">
        <v>1</v>
      </c>
      <c r="R56" s="99">
        <v>1</v>
      </c>
      <c r="S56" s="99">
        <v>1</v>
      </c>
      <c r="T56" s="99">
        <v>1</v>
      </c>
      <c r="U56" s="99">
        <v>1</v>
      </c>
      <c r="V56" s="99">
        <v>1</v>
      </c>
      <c r="W56" s="99">
        <v>1</v>
      </c>
      <c r="X56" s="99">
        <v>1</v>
      </c>
      <c r="Y56" s="99">
        <v>1</v>
      </c>
      <c r="Z56" s="99">
        <v>1</v>
      </c>
      <c r="AA56" s="99">
        <v>1</v>
      </c>
      <c r="AB56" s="99">
        <v>1</v>
      </c>
      <c r="AC56" s="99">
        <v>1</v>
      </c>
    </row>
    <row r="57" spans="1:29" s="55" customFormat="1" x14ac:dyDescent="0.3">
      <c r="A57" s="24"/>
      <c r="B57" s="52" t="s">
        <v>342</v>
      </c>
      <c r="C57" s="52" t="s">
        <v>343</v>
      </c>
      <c r="D57" s="99" t="s">
        <v>161</v>
      </c>
      <c r="E57" s="99" t="s">
        <v>161</v>
      </c>
      <c r="F57" s="99" t="s">
        <v>161</v>
      </c>
      <c r="G57" s="99" t="s">
        <v>161</v>
      </c>
      <c r="H57" s="99" t="s">
        <v>161</v>
      </c>
      <c r="I57" s="99" t="s">
        <v>161</v>
      </c>
      <c r="J57" s="99">
        <v>0.5</v>
      </c>
      <c r="K57" s="99">
        <v>0.5</v>
      </c>
      <c r="L57" s="99">
        <v>0.5</v>
      </c>
      <c r="M57" s="99">
        <v>0.5</v>
      </c>
      <c r="N57" s="99">
        <v>0.5</v>
      </c>
      <c r="O57" s="99">
        <v>0.5</v>
      </c>
      <c r="P57" s="99">
        <v>0.5</v>
      </c>
      <c r="Q57" s="99">
        <v>0.5</v>
      </c>
      <c r="R57" s="99">
        <v>0.5</v>
      </c>
      <c r="S57" s="99">
        <v>0.5</v>
      </c>
      <c r="T57" s="99">
        <v>0.5</v>
      </c>
      <c r="U57" s="99">
        <v>0.5</v>
      </c>
      <c r="V57" s="99">
        <v>0.5</v>
      </c>
      <c r="W57" s="99">
        <v>0.5</v>
      </c>
      <c r="X57" s="99">
        <v>0.5</v>
      </c>
      <c r="Y57" s="99">
        <v>0.5</v>
      </c>
      <c r="Z57" s="99">
        <v>0.5</v>
      </c>
      <c r="AA57" s="99">
        <v>0.5</v>
      </c>
      <c r="AB57" s="99">
        <v>0.5</v>
      </c>
      <c r="AC57" s="99">
        <v>0.5</v>
      </c>
    </row>
    <row r="58" spans="1:29" s="55" customFormat="1" x14ac:dyDescent="0.3">
      <c r="A58" s="24"/>
      <c r="B58" s="50" t="s">
        <v>173</v>
      </c>
      <c r="C58" s="50" t="s">
        <v>287</v>
      </c>
      <c r="D58" s="99" t="s">
        <v>161</v>
      </c>
      <c r="E58" s="99" t="s">
        <v>161</v>
      </c>
      <c r="F58" s="99" t="s">
        <v>161</v>
      </c>
      <c r="G58" s="99" t="s">
        <v>161</v>
      </c>
      <c r="H58" s="99" t="s">
        <v>161</v>
      </c>
      <c r="I58" s="99" t="s">
        <v>161</v>
      </c>
      <c r="J58" s="99" t="s">
        <v>161</v>
      </c>
      <c r="K58" s="99" t="s">
        <v>161</v>
      </c>
      <c r="L58" s="99" t="s">
        <v>161</v>
      </c>
      <c r="M58" s="99" t="s">
        <v>161</v>
      </c>
      <c r="N58" s="99" t="s">
        <v>161</v>
      </c>
      <c r="O58" s="99">
        <v>0.5</v>
      </c>
      <c r="P58" s="99">
        <v>0.5</v>
      </c>
      <c r="Q58" s="99">
        <v>0.5</v>
      </c>
      <c r="R58" s="99">
        <v>0.5</v>
      </c>
      <c r="S58" s="99">
        <v>0.5</v>
      </c>
      <c r="T58" s="99">
        <v>0.5</v>
      </c>
      <c r="U58" s="99">
        <v>0.5</v>
      </c>
      <c r="V58" s="99">
        <v>0.5</v>
      </c>
      <c r="W58" s="99">
        <v>0.5</v>
      </c>
      <c r="X58" s="99">
        <v>0.5</v>
      </c>
      <c r="Y58" s="99">
        <v>0.5</v>
      </c>
      <c r="Z58" s="99">
        <v>0.5</v>
      </c>
      <c r="AA58" s="99">
        <v>0.5</v>
      </c>
      <c r="AB58" s="99">
        <v>0.5</v>
      </c>
      <c r="AC58" s="99">
        <v>0.5</v>
      </c>
    </row>
    <row r="59" spans="1:29" s="55" customFormat="1" x14ac:dyDescent="0.3">
      <c r="A59" s="24"/>
      <c r="B59" s="52" t="s">
        <v>174</v>
      </c>
      <c r="C59" s="52" t="s">
        <v>288</v>
      </c>
      <c r="D59" s="99" t="s">
        <v>161</v>
      </c>
      <c r="E59" s="99" t="s">
        <v>161</v>
      </c>
      <c r="F59" s="99" t="s">
        <v>161</v>
      </c>
      <c r="G59" s="99" t="s">
        <v>161</v>
      </c>
      <c r="H59" s="99" t="s">
        <v>161</v>
      </c>
      <c r="I59" s="99" t="s">
        <v>161</v>
      </c>
      <c r="J59" s="99" t="s">
        <v>161</v>
      </c>
      <c r="K59" s="99" t="s">
        <v>161</v>
      </c>
      <c r="L59" s="99" t="s">
        <v>161</v>
      </c>
      <c r="M59" s="99" t="s">
        <v>161</v>
      </c>
      <c r="N59" s="99">
        <v>0.51</v>
      </c>
      <c r="O59" s="99">
        <v>0.51</v>
      </c>
      <c r="P59" s="99">
        <v>0.51</v>
      </c>
      <c r="Q59" s="99">
        <v>0.51</v>
      </c>
      <c r="R59" s="99">
        <v>0.51</v>
      </c>
      <c r="S59" s="99">
        <v>0.51</v>
      </c>
      <c r="T59" s="99">
        <v>0.51</v>
      </c>
      <c r="U59" s="99">
        <v>0.51</v>
      </c>
      <c r="V59" s="99">
        <v>0.51</v>
      </c>
      <c r="W59" s="99">
        <v>0.51</v>
      </c>
      <c r="X59" s="99">
        <v>0.51</v>
      </c>
      <c r="Y59" s="99">
        <v>0.51</v>
      </c>
      <c r="Z59" s="99">
        <v>0.51</v>
      </c>
      <c r="AA59" s="99">
        <v>0.51</v>
      </c>
      <c r="AB59" s="99">
        <v>0.51</v>
      </c>
      <c r="AC59" s="99">
        <v>0.51</v>
      </c>
    </row>
    <row r="60" spans="1:29" s="55" customFormat="1" x14ac:dyDescent="0.3">
      <c r="A60" s="60"/>
      <c r="B60" s="37" t="s">
        <v>249</v>
      </c>
      <c r="C60" s="37" t="s">
        <v>290</v>
      </c>
      <c r="D60" s="99" t="s">
        <v>161</v>
      </c>
      <c r="E60" s="99" t="s">
        <v>161</v>
      </c>
      <c r="F60" s="99" t="s">
        <v>161</v>
      </c>
      <c r="G60" s="99" t="s">
        <v>161</v>
      </c>
      <c r="H60" s="99" t="s">
        <v>161</v>
      </c>
      <c r="I60" s="99" t="s">
        <v>161</v>
      </c>
      <c r="J60" s="99" t="s">
        <v>161</v>
      </c>
      <c r="K60" s="99" t="s">
        <v>161</v>
      </c>
      <c r="L60" s="99" t="s">
        <v>161</v>
      </c>
      <c r="M60" s="99" t="s">
        <v>161</v>
      </c>
      <c r="N60" s="99" t="s">
        <v>161</v>
      </c>
      <c r="O60" s="99" t="s">
        <v>161</v>
      </c>
      <c r="P60" s="99" t="s">
        <v>161</v>
      </c>
      <c r="Q60" s="99" t="s">
        <v>161</v>
      </c>
      <c r="R60" s="99" t="s">
        <v>161</v>
      </c>
      <c r="S60" s="99" t="s">
        <v>161</v>
      </c>
      <c r="T60" s="99" t="s">
        <v>161</v>
      </c>
      <c r="U60" s="99">
        <v>0.51</v>
      </c>
      <c r="V60" s="99">
        <v>0.51</v>
      </c>
      <c r="W60" s="99">
        <v>0.51</v>
      </c>
      <c r="X60" s="99">
        <v>0.51</v>
      </c>
      <c r="Y60" s="99">
        <v>0.51</v>
      </c>
      <c r="Z60" s="99">
        <v>0.51</v>
      </c>
      <c r="AA60" s="99">
        <v>0.51</v>
      </c>
      <c r="AB60" s="99">
        <v>0.51</v>
      </c>
      <c r="AC60" s="99">
        <v>0.51</v>
      </c>
    </row>
    <row r="61" spans="1:29" s="55" customFormat="1" x14ac:dyDescent="0.3">
      <c r="A61" s="60"/>
      <c r="B61" s="37" t="s">
        <v>347</v>
      </c>
      <c r="C61" s="37" t="s">
        <v>346</v>
      </c>
      <c r="D61" s="99" t="s">
        <v>161</v>
      </c>
      <c r="E61" s="99" t="s">
        <v>161</v>
      </c>
      <c r="F61" s="99" t="s">
        <v>161</v>
      </c>
      <c r="G61" s="99" t="s">
        <v>161</v>
      </c>
      <c r="H61" s="99" t="s">
        <v>161</v>
      </c>
      <c r="I61" s="99" t="s">
        <v>161</v>
      </c>
      <c r="J61" s="99" t="s">
        <v>161</v>
      </c>
      <c r="K61" s="99" t="s">
        <v>161</v>
      </c>
      <c r="L61" s="99" t="s">
        <v>161</v>
      </c>
      <c r="M61" s="99" t="s">
        <v>161</v>
      </c>
      <c r="N61" s="99" t="s">
        <v>161</v>
      </c>
      <c r="O61" s="99" t="s">
        <v>161</v>
      </c>
      <c r="P61" s="99" t="s">
        <v>161</v>
      </c>
      <c r="Q61" s="99" t="s">
        <v>161</v>
      </c>
      <c r="R61" s="99" t="s">
        <v>161</v>
      </c>
      <c r="S61" s="99" t="s">
        <v>161</v>
      </c>
      <c r="T61" s="99" t="s">
        <v>161</v>
      </c>
      <c r="U61" s="99">
        <v>0.51</v>
      </c>
      <c r="V61" s="99">
        <v>0.51</v>
      </c>
      <c r="W61" s="99">
        <v>0.51</v>
      </c>
      <c r="X61" s="99">
        <v>0.51</v>
      </c>
      <c r="Y61" s="99">
        <v>0.51</v>
      </c>
      <c r="Z61" s="99">
        <v>0.51</v>
      </c>
      <c r="AA61" s="99">
        <v>0.51</v>
      </c>
      <c r="AB61" s="99">
        <v>0.51</v>
      </c>
      <c r="AC61" s="99">
        <v>0.51</v>
      </c>
    </row>
    <row r="62" spans="1:29" s="55" customFormat="1" x14ac:dyDescent="0.3">
      <c r="A62" s="60"/>
      <c r="B62" s="37" t="s">
        <v>345</v>
      </c>
      <c r="C62" s="37" t="s">
        <v>335</v>
      </c>
      <c r="D62" s="99" t="s">
        <v>161</v>
      </c>
      <c r="E62" s="99" t="s">
        <v>161</v>
      </c>
      <c r="F62" s="99" t="s">
        <v>161</v>
      </c>
      <c r="G62" s="99" t="s">
        <v>161</v>
      </c>
      <c r="H62" s="99" t="s">
        <v>161</v>
      </c>
      <c r="I62" s="99" t="s">
        <v>161</v>
      </c>
      <c r="J62" s="99" t="s">
        <v>161</v>
      </c>
      <c r="K62" s="99" t="s">
        <v>161</v>
      </c>
      <c r="L62" s="99" t="s">
        <v>161</v>
      </c>
      <c r="M62" s="99" t="s">
        <v>161</v>
      </c>
      <c r="N62" s="99" t="s">
        <v>161</v>
      </c>
      <c r="O62" s="99" t="s">
        <v>161</v>
      </c>
      <c r="P62" s="99" t="s">
        <v>161</v>
      </c>
      <c r="Q62" s="99" t="s">
        <v>161</v>
      </c>
      <c r="R62" s="99" t="s">
        <v>161</v>
      </c>
      <c r="S62" s="99" t="s">
        <v>161</v>
      </c>
      <c r="T62" s="99" t="s">
        <v>161</v>
      </c>
      <c r="U62" s="99" t="s">
        <v>161</v>
      </c>
      <c r="V62" s="99" t="s">
        <v>161</v>
      </c>
      <c r="W62" s="99" t="s">
        <v>161</v>
      </c>
      <c r="X62" s="99" t="s">
        <v>161</v>
      </c>
      <c r="Y62" s="99" t="s">
        <v>161</v>
      </c>
      <c r="Z62" s="99">
        <v>1</v>
      </c>
      <c r="AA62" s="55">
        <v>1</v>
      </c>
      <c r="AB62" s="55">
        <v>1</v>
      </c>
      <c r="AC62" s="55">
        <v>1</v>
      </c>
    </row>
    <row r="63" spans="1:29" s="1" customFormat="1" x14ac:dyDescent="0.3">
      <c r="A63" s="24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W63" s="27"/>
      <c r="X63" s="101"/>
    </row>
    <row r="64" spans="1:29" s="1" customFormat="1" x14ac:dyDescent="0.3">
      <c r="A64" s="24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W64" s="27"/>
      <c r="X64" s="101"/>
    </row>
    <row r="65" spans="1:29" s="54" customFormat="1" x14ac:dyDescent="0.3">
      <c r="A65" s="21" t="s">
        <v>0</v>
      </c>
      <c r="B65" s="21" t="s">
        <v>350</v>
      </c>
      <c r="C65" s="21" t="s">
        <v>351</v>
      </c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</row>
    <row r="66" spans="1:29" s="1" customFormat="1" x14ac:dyDescent="0.3">
      <c r="A66" s="24"/>
      <c r="B66" s="52" t="s">
        <v>162</v>
      </c>
      <c r="C66" s="52" t="s">
        <v>276</v>
      </c>
      <c r="D66" s="99" t="s">
        <v>161</v>
      </c>
      <c r="E66" s="99" t="s">
        <v>161</v>
      </c>
      <c r="F66" s="99" t="s">
        <v>161</v>
      </c>
      <c r="G66" s="99" t="s">
        <v>161</v>
      </c>
      <c r="H66" s="99" t="s">
        <v>161</v>
      </c>
      <c r="I66" s="99" t="s">
        <v>161</v>
      </c>
      <c r="J66" s="99" t="s">
        <v>161</v>
      </c>
      <c r="K66" s="99" t="s">
        <v>161</v>
      </c>
      <c r="L66" s="99" t="s">
        <v>161</v>
      </c>
      <c r="M66" s="99" t="s">
        <v>161</v>
      </c>
      <c r="N66" s="99" t="s">
        <v>161</v>
      </c>
      <c r="O66" s="99" t="s">
        <v>161</v>
      </c>
      <c r="P66" s="99" t="s">
        <v>161</v>
      </c>
      <c r="Q66" s="99" t="s">
        <v>161</v>
      </c>
      <c r="R66" s="99" t="s">
        <v>161</v>
      </c>
      <c r="S66" s="99" t="s">
        <v>161</v>
      </c>
      <c r="T66" s="99" t="s">
        <v>161</v>
      </c>
      <c r="U66" s="99" t="s">
        <v>161</v>
      </c>
      <c r="V66" s="99" t="s">
        <v>161</v>
      </c>
      <c r="W66" s="99" t="s">
        <v>161</v>
      </c>
      <c r="X66" s="99" t="s">
        <v>161</v>
      </c>
      <c r="Y66" s="99" t="s">
        <v>161</v>
      </c>
      <c r="Z66" s="99" t="s">
        <v>161</v>
      </c>
      <c r="AA66" s="99" t="s">
        <v>352</v>
      </c>
      <c r="AB66" s="99" t="s">
        <v>352</v>
      </c>
      <c r="AC66" s="99" t="s">
        <v>352</v>
      </c>
    </row>
    <row r="67" spans="1:29" s="1" customFormat="1" x14ac:dyDescent="0.3">
      <c r="A67" s="24"/>
      <c r="B67" s="50" t="s">
        <v>163</v>
      </c>
      <c r="C67" s="50" t="s">
        <v>277</v>
      </c>
      <c r="D67" s="99" t="s">
        <v>161</v>
      </c>
      <c r="E67" s="99" t="s">
        <v>161</v>
      </c>
      <c r="F67" s="99" t="s">
        <v>161</v>
      </c>
      <c r="G67" s="99" t="s">
        <v>161</v>
      </c>
      <c r="H67" s="99" t="s">
        <v>161</v>
      </c>
      <c r="I67" s="99" t="s">
        <v>161</v>
      </c>
      <c r="J67" s="99" t="s">
        <v>161</v>
      </c>
      <c r="K67" s="99" t="s">
        <v>161</v>
      </c>
      <c r="L67" s="99" t="s">
        <v>161</v>
      </c>
      <c r="M67" s="99" t="s">
        <v>161</v>
      </c>
      <c r="N67" s="99" t="s">
        <v>161</v>
      </c>
      <c r="O67" s="99" t="s">
        <v>161</v>
      </c>
      <c r="P67" s="99" t="s">
        <v>161</v>
      </c>
      <c r="Q67" s="99" t="s">
        <v>161</v>
      </c>
      <c r="R67" s="99" t="s">
        <v>161</v>
      </c>
      <c r="S67" s="99" t="s">
        <v>161</v>
      </c>
      <c r="T67" s="99" t="s">
        <v>161</v>
      </c>
      <c r="U67" s="99" t="s">
        <v>161</v>
      </c>
      <c r="V67" s="99" t="s">
        <v>161</v>
      </c>
      <c r="W67" s="99" t="s">
        <v>161</v>
      </c>
      <c r="X67" s="99" t="s">
        <v>161</v>
      </c>
      <c r="Y67" s="99" t="s">
        <v>161</v>
      </c>
      <c r="Z67" s="99" t="s">
        <v>161</v>
      </c>
      <c r="AA67" s="99" t="s">
        <v>352</v>
      </c>
      <c r="AB67" s="99" t="s">
        <v>352</v>
      </c>
      <c r="AC67" s="99" t="s">
        <v>352</v>
      </c>
    </row>
    <row r="68" spans="1:29" s="1" customFormat="1" x14ac:dyDescent="0.3">
      <c r="A68" s="24"/>
      <c r="B68" s="52" t="s">
        <v>348</v>
      </c>
      <c r="C68" s="52" t="s">
        <v>349</v>
      </c>
      <c r="D68" s="99" t="s">
        <v>161</v>
      </c>
      <c r="E68" s="99" t="s">
        <v>161</v>
      </c>
      <c r="F68" s="99" t="s">
        <v>161</v>
      </c>
      <c r="G68" s="99" t="s">
        <v>161</v>
      </c>
      <c r="H68" s="99" t="s">
        <v>161</v>
      </c>
      <c r="I68" s="99" t="s">
        <v>161</v>
      </c>
      <c r="J68" s="99" t="s">
        <v>161</v>
      </c>
      <c r="K68" s="99" t="s">
        <v>161</v>
      </c>
      <c r="L68" s="99" t="s">
        <v>161</v>
      </c>
      <c r="M68" s="99" t="s">
        <v>161</v>
      </c>
      <c r="N68" s="99" t="s">
        <v>161</v>
      </c>
      <c r="O68" s="99" t="s">
        <v>161</v>
      </c>
      <c r="P68" s="99" t="s">
        <v>161</v>
      </c>
      <c r="Q68" s="99" t="s">
        <v>161</v>
      </c>
      <c r="R68" s="99" t="s">
        <v>161</v>
      </c>
      <c r="S68" s="99" t="s">
        <v>161</v>
      </c>
      <c r="T68" s="99" t="s">
        <v>161</v>
      </c>
      <c r="U68" s="99" t="s">
        <v>161</v>
      </c>
      <c r="V68" s="99" t="s">
        <v>161</v>
      </c>
      <c r="W68" s="99" t="s">
        <v>161</v>
      </c>
      <c r="X68" s="99" t="s">
        <v>161</v>
      </c>
      <c r="Y68" s="99" t="s">
        <v>161</v>
      </c>
      <c r="Z68" s="99" t="s">
        <v>161</v>
      </c>
      <c r="AA68" s="201" t="s">
        <v>353</v>
      </c>
      <c r="AB68" s="201" t="s">
        <v>353</v>
      </c>
      <c r="AC68" s="201" t="s">
        <v>353</v>
      </c>
    </row>
    <row r="69" spans="1:29" s="1" customFormat="1" x14ac:dyDescent="0.3">
      <c r="A69" s="24"/>
      <c r="B69" s="50" t="s">
        <v>164</v>
      </c>
      <c r="C69" s="50" t="s">
        <v>278</v>
      </c>
      <c r="D69" s="99" t="s">
        <v>161</v>
      </c>
      <c r="E69" s="99" t="s">
        <v>161</v>
      </c>
      <c r="F69" s="99" t="s">
        <v>161</v>
      </c>
      <c r="G69" s="99" t="s">
        <v>161</v>
      </c>
      <c r="H69" s="99" t="s">
        <v>161</v>
      </c>
      <c r="I69" s="99" t="s">
        <v>161</v>
      </c>
      <c r="J69" s="99" t="s">
        <v>161</v>
      </c>
      <c r="K69" s="99" t="s">
        <v>161</v>
      </c>
      <c r="L69" s="99" t="s">
        <v>161</v>
      </c>
      <c r="M69" s="99" t="s">
        <v>161</v>
      </c>
      <c r="N69" s="99" t="s">
        <v>161</v>
      </c>
      <c r="O69" s="99" t="s">
        <v>161</v>
      </c>
      <c r="P69" s="99" t="s">
        <v>161</v>
      </c>
      <c r="Q69" s="99" t="s">
        <v>161</v>
      </c>
      <c r="R69" s="99" t="s">
        <v>161</v>
      </c>
      <c r="S69" s="99" t="s">
        <v>161</v>
      </c>
      <c r="T69" s="99" t="s">
        <v>161</v>
      </c>
      <c r="U69" s="99" t="s">
        <v>161</v>
      </c>
      <c r="V69" s="99" t="s">
        <v>161</v>
      </c>
      <c r="W69" s="99" t="s">
        <v>161</v>
      </c>
      <c r="X69" s="99" t="s">
        <v>161</v>
      </c>
      <c r="Y69" s="99" t="s">
        <v>161</v>
      </c>
      <c r="Z69" s="99" t="s">
        <v>161</v>
      </c>
      <c r="AA69" s="99" t="s">
        <v>352</v>
      </c>
      <c r="AB69" s="99" t="s">
        <v>352</v>
      </c>
      <c r="AC69" s="99" t="s">
        <v>352</v>
      </c>
    </row>
    <row r="70" spans="1:29" s="1" customFormat="1" x14ac:dyDescent="0.3">
      <c r="A70" s="24"/>
      <c r="B70" s="52" t="s">
        <v>165</v>
      </c>
      <c r="C70" s="52" t="s">
        <v>279</v>
      </c>
      <c r="D70" s="99" t="s">
        <v>161</v>
      </c>
      <c r="E70" s="99" t="s">
        <v>161</v>
      </c>
      <c r="F70" s="99" t="s">
        <v>161</v>
      </c>
      <c r="G70" s="99" t="s">
        <v>161</v>
      </c>
      <c r="H70" s="99" t="s">
        <v>161</v>
      </c>
      <c r="I70" s="99" t="s">
        <v>161</v>
      </c>
      <c r="J70" s="99" t="s">
        <v>161</v>
      </c>
      <c r="K70" s="99" t="s">
        <v>161</v>
      </c>
      <c r="L70" s="99" t="s">
        <v>161</v>
      </c>
      <c r="M70" s="99" t="s">
        <v>161</v>
      </c>
      <c r="N70" s="99" t="s">
        <v>161</v>
      </c>
      <c r="O70" s="99" t="s">
        <v>161</v>
      </c>
      <c r="P70" s="99" t="s">
        <v>161</v>
      </c>
      <c r="Q70" s="99" t="s">
        <v>161</v>
      </c>
      <c r="R70" s="99" t="s">
        <v>161</v>
      </c>
      <c r="S70" s="99" t="s">
        <v>161</v>
      </c>
      <c r="T70" s="99" t="s">
        <v>161</v>
      </c>
      <c r="U70" s="99" t="s">
        <v>161</v>
      </c>
      <c r="V70" s="99" t="s">
        <v>161</v>
      </c>
      <c r="W70" s="99" t="s">
        <v>161</v>
      </c>
      <c r="X70" s="99" t="s">
        <v>161</v>
      </c>
      <c r="Y70" s="99" t="s">
        <v>161</v>
      </c>
      <c r="Z70" s="99" t="s">
        <v>161</v>
      </c>
      <c r="AA70" s="99" t="s">
        <v>352</v>
      </c>
      <c r="AB70" s="99" t="s">
        <v>352</v>
      </c>
      <c r="AC70" s="99" t="s">
        <v>352</v>
      </c>
    </row>
    <row r="71" spans="1:29" s="1" customFormat="1" x14ac:dyDescent="0.3">
      <c r="A71" s="24"/>
      <c r="B71" s="50" t="s">
        <v>166</v>
      </c>
      <c r="C71" s="50" t="s">
        <v>280</v>
      </c>
      <c r="D71" s="99" t="s">
        <v>161</v>
      </c>
      <c r="E71" s="99" t="s">
        <v>161</v>
      </c>
      <c r="F71" s="99" t="s">
        <v>161</v>
      </c>
      <c r="G71" s="99" t="s">
        <v>161</v>
      </c>
      <c r="H71" s="99" t="s">
        <v>161</v>
      </c>
      <c r="I71" s="99" t="s">
        <v>161</v>
      </c>
      <c r="J71" s="99" t="s">
        <v>161</v>
      </c>
      <c r="K71" s="99" t="s">
        <v>161</v>
      </c>
      <c r="L71" s="99" t="s">
        <v>161</v>
      </c>
      <c r="M71" s="99" t="s">
        <v>161</v>
      </c>
      <c r="N71" s="99" t="s">
        <v>161</v>
      </c>
      <c r="O71" s="99" t="s">
        <v>161</v>
      </c>
      <c r="P71" s="99" t="s">
        <v>161</v>
      </c>
      <c r="Q71" s="99" t="s">
        <v>161</v>
      </c>
      <c r="R71" s="99" t="s">
        <v>161</v>
      </c>
      <c r="S71" s="99" t="s">
        <v>161</v>
      </c>
      <c r="T71" s="99" t="s">
        <v>161</v>
      </c>
      <c r="U71" s="99" t="s">
        <v>161</v>
      </c>
      <c r="V71" s="99" t="s">
        <v>161</v>
      </c>
      <c r="W71" s="99" t="s">
        <v>161</v>
      </c>
      <c r="X71" s="99" t="s">
        <v>161</v>
      </c>
      <c r="Y71" s="99" t="s">
        <v>161</v>
      </c>
      <c r="Z71" s="99" t="s">
        <v>161</v>
      </c>
      <c r="AA71" s="202">
        <v>2026</v>
      </c>
      <c r="AB71" s="202">
        <v>2026</v>
      </c>
      <c r="AC71" s="202">
        <v>2026</v>
      </c>
    </row>
    <row r="72" spans="1:29" s="1" customFormat="1" x14ac:dyDescent="0.3">
      <c r="A72" s="24"/>
      <c r="B72" s="52" t="s">
        <v>167</v>
      </c>
      <c r="C72" s="52" t="s">
        <v>281</v>
      </c>
      <c r="D72" s="99" t="s">
        <v>161</v>
      </c>
      <c r="E72" s="99" t="s">
        <v>161</v>
      </c>
      <c r="F72" s="99" t="s">
        <v>161</v>
      </c>
      <c r="G72" s="99" t="s">
        <v>161</v>
      </c>
      <c r="H72" s="99" t="s">
        <v>161</v>
      </c>
      <c r="I72" s="99" t="s">
        <v>161</v>
      </c>
      <c r="J72" s="99" t="s">
        <v>161</v>
      </c>
      <c r="K72" s="99" t="s">
        <v>161</v>
      </c>
      <c r="L72" s="99" t="s">
        <v>161</v>
      </c>
      <c r="M72" s="99" t="s">
        <v>161</v>
      </c>
      <c r="N72" s="99" t="s">
        <v>161</v>
      </c>
      <c r="O72" s="99" t="s">
        <v>161</v>
      </c>
      <c r="P72" s="99" t="s">
        <v>161</v>
      </c>
      <c r="Q72" s="99" t="s">
        <v>161</v>
      </c>
      <c r="R72" s="99" t="s">
        <v>161</v>
      </c>
      <c r="S72" s="99" t="s">
        <v>161</v>
      </c>
      <c r="T72" s="99" t="s">
        <v>161</v>
      </c>
      <c r="U72" s="99" t="s">
        <v>161</v>
      </c>
      <c r="V72" s="99" t="s">
        <v>161</v>
      </c>
      <c r="W72" s="99" t="s">
        <v>161</v>
      </c>
      <c r="X72" s="99" t="s">
        <v>161</v>
      </c>
      <c r="Y72" s="99" t="s">
        <v>161</v>
      </c>
      <c r="Z72" s="99" t="s">
        <v>161</v>
      </c>
      <c r="AA72" s="99" t="s">
        <v>352</v>
      </c>
      <c r="AB72" s="99" t="s">
        <v>352</v>
      </c>
      <c r="AC72" s="99" t="s">
        <v>352</v>
      </c>
    </row>
    <row r="73" spans="1:29" s="1" customFormat="1" x14ac:dyDescent="0.3">
      <c r="A73" s="24"/>
      <c r="B73" s="50" t="s">
        <v>168</v>
      </c>
      <c r="C73" s="50" t="s">
        <v>282</v>
      </c>
      <c r="D73" s="99" t="s">
        <v>161</v>
      </c>
      <c r="E73" s="99" t="s">
        <v>161</v>
      </c>
      <c r="F73" s="99" t="s">
        <v>161</v>
      </c>
      <c r="G73" s="99" t="s">
        <v>161</v>
      </c>
      <c r="H73" s="99" t="s">
        <v>161</v>
      </c>
      <c r="I73" s="99" t="s">
        <v>161</v>
      </c>
      <c r="J73" s="99" t="s">
        <v>161</v>
      </c>
      <c r="K73" s="99" t="s">
        <v>161</v>
      </c>
      <c r="L73" s="99" t="s">
        <v>161</v>
      </c>
      <c r="M73" s="99" t="s">
        <v>161</v>
      </c>
      <c r="N73" s="99" t="s">
        <v>161</v>
      </c>
      <c r="O73" s="99" t="s">
        <v>161</v>
      </c>
      <c r="P73" s="99" t="s">
        <v>161</v>
      </c>
      <c r="Q73" s="99" t="s">
        <v>161</v>
      </c>
      <c r="R73" s="99" t="s">
        <v>161</v>
      </c>
      <c r="S73" s="99" t="s">
        <v>161</v>
      </c>
      <c r="T73" s="99" t="s">
        <v>161</v>
      </c>
      <c r="U73" s="99" t="s">
        <v>161</v>
      </c>
      <c r="V73" s="99" t="s">
        <v>161</v>
      </c>
      <c r="W73" s="99" t="s">
        <v>161</v>
      </c>
      <c r="X73" s="99" t="s">
        <v>161</v>
      </c>
      <c r="Y73" s="99" t="s">
        <v>161</v>
      </c>
      <c r="Z73" s="99" t="s">
        <v>161</v>
      </c>
      <c r="AA73" s="99" t="s">
        <v>352</v>
      </c>
      <c r="AB73" s="99" t="s">
        <v>352</v>
      </c>
      <c r="AC73" s="99" t="s">
        <v>352</v>
      </c>
    </row>
    <row r="74" spans="1:29" s="1" customFormat="1" x14ac:dyDescent="0.3">
      <c r="A74" s="24"/>
      <c r="B74" s="52" t="s">
        <v>169</v>
      </c>
      <c r="C74" s="52" t="s">
        <v>283</v>
      </c>
      <c r="D74" s="99" t="s">
        <v>161</v>
      </c>
      <c r="E74" s="99" t="s">
        <v>161</v>
      </c>
      <c r="F74" s="99" t="s">
        <v>161</v>
      </c>
      <c r="G74" s="99" t="s">
        <v>161</v>
      </c>
      <c r="H74" s="99" t="s">
        <v>161</v>
      </c>
      <c r="I74" s="99" t="s">
        <v>161</v>
      </c>
      <c r="J74" s="99" t="s">
        <v>161</v>
      </c>
      <c r="K74" s="99" t="s">
        <v>161</v>
      </c>
      <c r="L74" s="99" t="s">
        <v>161</v>
      </c>
      <c r="M74" s="99" t="s">
        <v>161</v>
      </c>
      <c r="N74" s="99" t="s">
        <v>161</v>
      </c>
      <c r="O74" s="99" t="s">
        <v>161</v>
      </c>
      <c r="P74" s="99" t="s">
        <v>161</v>
      </c>
      <c r="Q74" s="99" t="s">
        <v>161</v>
      </c>
      <c r="R74" s="99" t="s">
        <v>161</v>
      </c>
      <c r="S74" s="99" t="s">
        <v>161</v>
      </c>
      <c r="T74" s="99" t="s">
        <v>161</v>
      </c>
      <c r="U74" s="99" t="s">
        <v>161</v>
      </c>
      <c r="V74" s="99" t="s">
        <v>161</v>
      </c>
      <c r="W74" s="99" t="s">
        <v>161</v>
      </c>
      <c r="X74" s="99" t="s">
        <v>161</v>
      </c>
      <c r="Y74" s="99" t="s">
        <v>161</v>
      </c>
      <c r="Z74" s="99" t="s">
        <v>161</v>
      </c>
      <c r="AA74" s="99" t="s">
        <v>352</v>
      </c>
      <c r="AB74" s="99" t="s">
        <v>352</v>
      </c>
      <c r="AC74" s="99" t="s">
        <v>352</v>
      </c>
    </row>
    <row r="75" spans="1:29" x14ac:dyDescent="0.3">
      <c r="B75" s="50" t="s">
        <v>170</v>
      </c>
      <c r="C75" s="50" t="s">
        <v>284</v>
      </c>
      <c r="D75" s="99" t="s">
        <v>161</v>
      </c>
      <c r="E75" s="99" t="s">
        <v>161</v>
      </c>
      <c r="F75" s="99" t="s">
        <v>161</v>
      </c>
      <c r="G75" s="99" t="s">
        <v>161</v>
      </c>
      <c r="H75" s="99" t="s">
        <v>161</v>
      </c>
      <c r="I75" s="99" t="s">
        <v>161</v>
      </c>
      <c r="J75" s="99" t="s">
        <v>161</v>
      </c>
      <c r="K75" s="99" t="s">
        <v>161</v>
      </c>
      <c r="L75" s="99" t="s">
        <v>161</v>
      </c>
      <c r="M75" s="99" t="s">
        <v>161</v>
      </c>
      <c r="N75" s="99" t="s">
        <v>161</v>
      </c>
      <c r="O75" s="99" t="s">
        <v>161</v>
      </c>
      <c r="P75" s="99" t="s">
        <v>161</v>
      </c>
      <c r="Q75" s="99" t="s">
        <v>161</v>
      </c>
      <c r="R75" s="99" t="s">
        <v>161</v>
      </c>
      <c r="S75" s="99" t="s">
        <v>161</v>
      </c>
      <c r="T75" s="99" t="s">
        <v>161</v>
      </c>
      <c r="U75" s="99" t="s">
        <v>161</v>
      </c>
      <c r="V75" s="99" t="s">
        <v>161</v>
      </c>
      <c r="W75" s="99" t="s">
        <v>161</v>
      </c>
      <c r="X75" s="99" t="s">
        <v>161</v>
      </c>
      <c r="Y75" s="99" t="s">
        <v>161</v>
      </c>
      <c r="Z75" s="99" t="s">
        <v>161</v>
      </c>
      <c r="AA75" s="99" t="s">
        <v>352</v>
      </c>
      <c r="AB75" s="99" t="s">
        <v>352</v>
      </c>
      <c r="AC75" s="99" t="s">
        <v>352</v>
      </c>
    </row>
    <row r="76" spans="1:29" x14ac:dyDescent="0.3">
      <c r="B76" s="52" t="s">
        <v>171</v>
      </c>
      <c r="C76" s="52" t="s">
        <v>285</v>
      </c>
      <c r="D76" s="99" t="s">
        <v>161</v>
      </c>
      <c r="E76" s="99" t="s">
        <v>161</v>
      </c>
      <c r="F76" s="99" t="s">
        <v>161</v>
      </c>
      <c r="G76" s="99" t="s">
        <v>161</v>
      </c>
      <c r="H76" s="99" t="s">
        <v>161</v>
      </c>
      <c r="I76" s="99" t="s">
        <v>161</v>
      </c>
      <c r="J76" s="99" t="s">
        <v>161</v>
      </c>
      <c r="K76" s="99" t="s">
        <v>161</v>
      </c>
      <c r="L76" s="99" t="s">
        <v>161</v>
      </c>
      <c r="M76" s="99" t="s">
        <v>161</v>
      </c>
      <c r="N76" s="99" t="s">
        <v>161</v>
      </c>
      <c r="O76" s="99" t="s">
        <v>161</v>
      </c>
      <c r="P76" s="99" t="s">
        <v>161</v>
      </c>
      <c r="Q76" s="99" t="s">
        <v>161</v>
      </c>
      <c r="R76" s="99" t="s">
        <v>161</v>
      </c>
      <c r="S76" s="99" t="s">
        <v>161</v>
      </c>
      <c r="T76" s="99" t="s">
        <v>161</v>
      </c>
      <c r="U76" s="99" t="s">
        <v>161</v>
      </c>
      <c r="V76" s="99" t="s">
        <v>161</v>
      </c>
      <c r="W76" s="99" t="s">
        <v>161</v>
      </c>
      <c r="X76" s="99" t="s">
        <v>161</v>
      </c>
      <c r="Y76" s="99" t="s">
        <v>161</v>
      </c>
      <c r="Z76" s="99" t="s">
        <v>161</v>
      </c>
      <c r="AA76" s="201" t="s">
        <v>353</v>
      </c>
      <c r="AB76" s="201" t="s">
        <v>353</v>
      </c>
      <c r="AC76" s="201" t="s">
        <v>353</v>
      </c>
    </row>
    <row r="77" spans="1:29" x14ac:dyDescent="0.3">
      <c r="B77" s="50" t="s">
        <v>172</v>
      </c>
      <c r="C77" s="50" t="s">
        <v>286</v>
      </c>
      <c r="D77" s="99" t="s">
        <v>161</v>
      </c>
      <c r="E77" s="99" t="s">
        <v>161</v>
      </c>
      <c r="F77" s="99" t="s">
        <v>161</v>
      </c>
      <c r="G77" s="99" t="s">
        <v>161</v>
      </c>
      <c r="H77" s="99" t="s">
        <v>161</v>
      </c>
      <c r="I77" s="99" t="s">
        <v>161</v>
      </c>
      <c r="J77" s="99" t="s">
        <v>161</v>
      </c>
      <c r="K77" s="99" t="s">
        <v>161</v>
      </c>
      <c r="L77" s="99" t="s">
        <v>161</v>
      </c>
      <c r="M77" s="99" t="s">
        <v>161</v>
      </c>
      <c r="N77" s="99" t="s">
        <v>161</v>
      </c>
      <c r="O77" s="99" t="s">
        <v>161</v>
      </c>
      <c r="P77" s="99" t="s">
        <v>161</v>
      </c>
      <c r="Q77" s="99" t="s">
        <v>161</v>
      </c>
      <c r="R77" s="99" t="s">
        <v>161</v>
      </c>
      <c r="S77" s="99" t="s">
        <v>161</v>
      </c>
      <c r="T77" s="99" t="s">
        <v>161</v>
      </c>
      <c r="U77" s="99" t="s">
        <v>161</v>
      </c>
      <c r="V77" s="99" t="s">
        <v>161</v>
      </c>
      <c r="W77" s="99" t="s">
        <v>161</v>
      </c>
      <c r="X77" s="99" t="s">
        <v>161</v>
      </c>
      <c r="Y77" s="99" t="s">
        <v>161</v>
      </c>
      <c r="Z77" s="99" t="s">
        <v>161</v>
      </c>
      <c r="AA77" s="201" t="s">
        <v>353</v>
      </c>
      <c r="AB77" s="201" t="s">
        <v>353</v>
      </c>
      <c r="AC77" s="201" t="s">
        <v>353</v>
      </c>
    </row>
    <row r="78" spans="1:29" x14ac:dyDescent="0.3">
      <c r="B78" s="52" t="s">
        <v>342</v>
      </c>
      <c r="C78" s="52" t="s">
        <v>343</v>
      </c>
      <c r="D78" s="99" t="s">
        <v>161</v>
      </c>
      <c r="E78" s="99" t="s">
        <v>161</v>
      </c>
      <c r="F78" s="99" t="s">
        <v>161</v>
      </c>
      <c r="G78" s="99" t="s">
        <v>161</v>
      </c>
      <c r="H78" s="99" t="s">
        <v>161</v>
      </c>
      <c r="I78" s="99" t="s">
        <v>161</v>
      </c>
      <c r="J78" s="99" t="s">
        <v>161</v>
      </c>
      <c r="K78" s="99" t="s">
        <v>161</v>
      </c>
      <c r="L78" s="99" t="s">
        <v>161</v>
      </c>
      <c r="M78" s="99" t="s">
        <v>161</v>
      </c>
      <c r="N78" s="99" t="s">
        <v>161</v>
      </c>
      <c r="O78" s="99" t="s">
        <v>161</v>
      </c>
      <c r="P78" s="99" t="s">
        <v>161</v>
      </c>
      <c r="Q78" s="99" t="s">
        <v>161</v>
      </c>
      <c r="R78" s="99" t="s">
        <v>161</v>
      </c>
      <c r="S78" s="99" t="s">
        <v>161</v>
      </c>
      <c r="T78" s="99" t="s">
        <v>161</v>
      </c>
      <c r="U78" s="99" t="s">
        <v>161</v>
      </c>
      <c r="V78" s="99" t="s">
        <v>161</v>
      </c>
      <c r="W78" s="99" t="s">
        <v>161</v>
      </c>
      <c r="X78" s="99" t="s">
        <v>161</v>
      </c>
      <c r="Y78" s="99" t="s">
        <v>161</v>
      </c>
      <c r="Z78" s="99" t="s">
        <v>161</v>
      </c>
      <c r="AA78" s="99" t="s">
        <v>352</v>
      </c>
      <c r="AB78" s="99" t="s">
        <v>352</v>
      </c>
      <c r="AC78" s="99" t="s">
        <v>352</v>
      </c>
    </row>
    <row r="79" spans="1:29" x14ac:dyDescent="0.3">
      <c r="B79" s="50" t="s">
        <v>173</v>
      </c>
      <c r="C79" s="50" t="s">
        <v>287</v>
      </c>
      <c r="D79" s="99" t="s">
        <v>161</v>
      </c>
      <c r="E79" s="99" t="s">
        <v>161</v>
      </c>
      <c r="F79" s="99" t="s">
        <v>161</v>
      </c>
      <c r="G79" s="99" t="s">
        <v>161</v>
      </c>
      <c r="H79" s="99" t="s">
        <v>161</v>
      </c>
      <c r="I79" s="99" t="s">
        <v>161</v>
      </c>
      <c r="J79" s="99" t="s">
        <v>161</v>
      </c>
      <c r="K79" s="99" t="s">
        <v>161</v>
      </c>
      <c r="L79" s="99" t="s">
        <v>161</v>
      </c>
      <c r="M79" s="99" t="s">
        <v>161</v>
      </c>
      <c r="N79" s="99" t="s">
        <v>161</v>
      </c>
      <c r="O79" s="99" t="s">
        <v>161</v>
      </c>
      <c r="P79" s="99" t="s">
        <v>161</v>
      </c>
      <c r="Q79" s="99" t="s">
        <v>161</v>
      </c>
      <c r="R79" s="99" t="s">
        <v>161</v>
      </c>
      <c r="S79" s="99" t="s">
        <v>161</v>
      </c>
      <c r="T79" s="99" t="s">
        <v>161</v>
      </c>
      <c r="U79" s="99" t="s">
        <v>161</v>
      </c>
      <c r="V79" s="99" t="s">
        <v>161</v>
      </c>
      <c r="W79" s="99" t="s">
        <v>161</v>
      </c>
      <c r="X79" s="99" t="s">
        <v>161</v>
      </c>
      <c r="Y79" s="99" t="s">
        <v>161</v>
      </c>
      <c r="Z79" s="99" t="s">
        <v>161</v>
      </c>
      <c r="AA79" s="99" t="s">
        <v>352</v>
      </c>
      <c r="AB79" s="99" t="s">
        <v>352</v>
      </c>
      <c r="AC79" s="99" t="s">
        <v>352</v>
      </c>
    </row>
    <row r="80" spans="1:29" x14ac:dyDescent="0.3">
      <c r="B80" s="52" t="s">
        <v>174</v>
      </c>
      <c r="C80" s="52" t="s">
        <v>288</v>
      </c>
      <c r="D80" s="99" t="s">
        <v>161</v>
      </c>
      <c r="E80" s="99" t="s">
        <v>161</v>
      </c>
      <c r="F80" s="99" t="s">
        <v>161</v>
      </c>
      <c r="G80" s="99" t="s">
        <v>161</v>
      </c>
      <c r="H80" s="99" t="s">
        <v>161</v>
      </c>
      <c r="I80" s="99" t="s">
        <v>161</v>
      </c>
      <c r="J80" s="99" t="s">
        <v>161</v>
      </c>
      <c r="K80" s="99" t="s">
        <v>161</v>
      </c>
      <c r="L80" s="99" t="s">
        <v>161</v>
      </c>
      <c r="M80" s="99" t="s">
        <v>161</v>
      </c>
      <c r="N80" s="99" t="s">
        <v>161</v>
      </c>
      <c r="O80" s="99" t="s">
        <v>161</v>
      </c>
      <c r="P80" s="99" t="s">
        <v>161</v>
      </c>
      <c r="Q80" s="99" t="s">
        <v>161</v>
      </c>
      <c r="R80" s="99" t="s">
        <v>161</v>
      </c>
      <c r="S80" s="99" t="s">
        <v>161</v>
      </c>
      <c r="T80" s="99" t="s">
        <v>161</v>
      </c>
      <c r="U80" s="99" t="s">
        <v>161</v>
      </c>
      <c r="V80" s="99" t="s">
        <v>161</v>
      </c>
      <c r="W80" s="99" t="s">
        <v>161</v>
      </c>
      <c r="X80" s="99" t="s">
        <v>161</v>
      </c>
      <c r="Y80" s="99" t="s">
        <v>161</v>
      </c>
      <c r="Z80" s="99" t="s">
        <v>161</v>
      </c>
      <c r="AA80" s="202">
        <v>2026</v>
      </c>
      <c r="AB80" s="202">
        <v>2026</v>
      </c>
      <c r="AC80" s="201" t="s">
        <v>353</v>
      </c>
    </row>
    <row r="81" spans="1:29" x14ac:dyDescent="0.3">
      <c r="A81" s="60"/>
      <c r="B81" s="37" t="s">
        <v>249</v>
      </c>
      <c r="C81" s="37" t="s">
        <v>290</v>
      </c>
      <c r="D81" s="99" t="s">
        <v>161</v>
      </c>
      <c r="E81" s="99" t="s">
        <v>161</v>
      </c>
      <c r="F81" s="99" t="s">
        <v>161</v>
      </c>
      <c r="G81" s="99" t="s">
        <v>161</v>
      </c>
      <c r="H81" s="99" t="s">
        <v>161</v>
      </c>
      <c r="I81" s="99" t="s">
        <v>161</v>
      </c>
      <c r="J81" s="99" t="s">
        <v>161</v>
      </c>
      <c r="K81" s="99" t="s">
        <v>161</v>
      </c>
      <c r="L81" s="99" t="s">
        <v>161</v>
      </c>
      <c r="M81" s="99" t="s">
        <v>161</v>
      </c>
      <c r="N81" s="99" t="s">
        <v>161</v>
      </c>
      <c r="O81" s="99" t="s">
        <v>161</v>
      </c>
      <c r="P81" s="99" t="s">
        <v>161</v>
      </c>
      <c r="Q81" s="99" t="s">
        <v>161</v>
      </c>
      <c r="R81" s="99" t="s">
        <v>161</v>
      </c>
      <c r="S81" s="99" t="s">
        <v>161</v>
      </c>
      <c r="T81" s="99" t="s">
        <v>161</v>
      </c>
      <c r="U81" s="99" t="s">
        <v>161</v>
      </c>
      <c r="V81" s="99" t="s">
        <v>161</v>
      </c>
      <c r="W81" s="99" t="s">
        <v>161</v>
      </c>
      <c r="X81" s="99" t="s">
        <v>161</v>
      </c>
      <c r="Y81" s="99" t="s">
        <v>161</v>
      </c>
      <c r="Z81" s="99" t="s">
        <v>161</v>
      </c>
      <c r="AA81" s="99" t="s">
        <v>352</v>
      </c>
      <c r="AB81" s="99" t="s">
        <v>352</v>
      </c>
      <c r="AC81" s="99" t="s">
        <v>352</v>
      </c>
    </row>
    <row r="82" spans="1:29" x14ac:dyDescent="0.3">
      <c r="A82" s="60"/>
      <c r="B82" s="37" t="s">
        <v>347</v>
      </c>
      <c r="C82" s="37" t="s">
        <v>346</v>
      </c>
      <c r="D82" s="99" t="s">
        <v>161</v>
      </c>
      <c r="E82" s="99" t="s">
        <v>161</v>
      </c>
      <c r="F82" s="99" t="s">
        <v>161</v>
      </c>
      <c r="G82" s="99" t="s">
        <v>161</v>
      </c>
      <c r="H82" s="99" t="s">
        <v>161</v>
      </c>
      <c r="I82" s="99" t="s">
        <v>161</v>
      </c>
      <c r="J82" s="99" t="s">
        <v>161</v>
      </c>
      <c r="K82" s="99" t="s">
        <v>161</v>
      </c>
      <c r="L82" s="99" t="s">
        <v>161</v>
      </c>
      <c r="M82" s="99" t="s">
        <v>161</v>
      </c>
      <c r="N82" s="99" t="s">
        <v>161</v>
      </c>
      <c r="O82" s="99" t="s">
        <v>161</v>
      </c>
      <c r="P82" s="99" t="s">
        <v>161</v>
      </c>
      <c r="Q82" s="99" t="s">
        <v>161</v>
      </c>
      <c r="R82" s="99" t="s">
        <v>161</v>
      </c>
      <c r="S82" s="99" t="s">
        <v>161</v>
      </c>
      <c r="T82" s="99" t="s">
        <v>161</v>
      </c>
      <c r="U82" s="99" t="s">
        <v>161</v>
      </c>
      <c r="V82" s="99" t="s">
        <v>161</v>
      </c>
      <c r="W82" s="99" t="s">
        <v>161</v>
      </c>
      <c r="X82" s="99" t="s">
        <v>161</v>
      </c>
      <c r="Y82" s="99" t="s">
        <v>161</v>
      </c>
      <c r="Z82" s="99" t="s">
        <v>161</v>
      </c>
      <c r="AA82" s="99" t="s">
        <v>352</v>
      </c>
      <c r="AB82" s="99" t="s">
        <v>352</v>
      </c>
      <c r="AC82" s="99" t="s">
        <v>352</v>
      </c>
    </row>
    <row r="83" spans="1:29" x14ac:dyDescent="0.3">
      <c r="A83" s="60"/>
      <c r="B83" s="37" t="s">
        <v>345</v>
      </c>
      <c r="C83" s="37" t="s">
        <v>335</v>
      </c>
      <c r="D83" s="99" t="s">
        <v>161</v>
      </c>
      <c r="E83" s="99" t="s">
        <v>161</v>
      </c>
      <c r="F83" s="99" t="s">
        <v>161</v>
      </c>
      <c r="G83" s="99" t="s">
        <v>161</v>
      </c>
      <c r="H83" s="99" t="s">
        <v>161</v>
      </c>
      <c r="I83" s="99" t="s">
        <v>161</v>
      </c>
      <c r="J83" s="99" t="s">
        <v>161</v>
      </c>
      <c r="K83" s="99" t="s">
        <v>161</v>
      </c>
      <c r="L83" s="99" t="s">
        <v>161</v>
      </c>
      <c r="M83" s="99" t="s">
        <v>161</v>
      </c>
      <c r="N83" s="99" t="s">
        <v>161</v>
      </c>
      <c r="O83" s="99" t="s">
        <v>161</v>
      </c>
      <c r="P83" s="99" t="s">
        <v>161</v>
      </c>
      <c r="Q83" s="99" t="s">
        <v>161</v>
      </c>
      <c r="R83" s="99" t="s">
        <v>161</v>
      </c>
      <c r="S83" s="99" t="s">
        <v>161</v>
      </c>
      <c r="T83" s="99" t="s">
        <v>161</v>
      </c>
      <c r="U83" s="99" t="s">
        <v>161</v>
      </c>
      <c r="V83" s="99" t="s">
        <v>161</v>
      </c>
      <c r="W83" s="99" t="s">
        <v>161</v>
      </c>
      <c r="X83" s="99" t="s">
        <v>161</v>
      </c>
      <c r="Y83" s="99" t="s">
        <v>161</v>
      </c>
      <c r="Z83" s="99" t="s">
        <v>161</v>
      </c>
      <c r="AA83" s="99" t="s">
        <v>352</v>
      </c>
      <c r="AB83" s="99" t="s">
        <v>352</v>
      </c>
      <c r="AC83" s="99" t="s">
        <v>352</v>
      </c>
    </row>
    <row r="139" spans="6:6" x14ac:dyDescent="0.3">
      <c r="F139" s="155"/>
    </row>
  </sheetData>
  <phoneticPr fontId="2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N I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/ z O A x q 0 A A A D 3 A A A A E g A A A E N v b m Z p Z y 9 Q Y W N r Y W d l L n h t b I S P z Q q C Q B z E 7 0 H v I H t 3 P 8 x L 8 n e F u i Z E Q X R d d N E l 3 R V 3 T d + t Q 4 / U K 6 S U 1 a 3 j z P x g Z h 6 3 O y R D X X l X 2 V p l d I w Y p s i z T u h c V E b L G G m D E r 5 c w F 5 k F 1 F I b 6 S 1 j Q a b x 6 h 0 r o k I 6 f s e 9 y t s 2 o I E l D J y T n f H r J S 1 Q B 9 Y / Y d 9 p a f a T C I O p 9 c a H m D G 1 j i k I a Z A Z h N S p b 9 A M A 6 e 0 h 8 T t l 3 l u l b y x v m b A 5 B Z A n l / 4 E 8 A A A D / / w M A U E s D B B Q A A g A I A A A A I Q B R z l W g 4 Q Q A A B B z A A A T A A A A R m 9 y b X V s Y X M v U 2 V j d G l v b j E u b e y d z 0 / j O B T H 7 0 j z P 1 j h s K 3 U F v 9 I k 3 Z X P V R l 0 H J D O 9 k T c D C N Y S K l C U r S n V k h / p o 5 z G l O c 9 v j 9 h 9 b p 6 X Q Q r p q U h u c 8 h A q k h s n J p + v 3 / O z n 5 N U j L M g j t C n x V / y 2 8 F B + p k n w k e H l s e v Q o E p Q Y 0 z f i M Q c d r E b V p o g E K R f T h A 8 u c k j j I h C 8 7 8 6 8 7 8 6 L R x E o S i M 8 r L o y x t W K N f L / 5 M R Z J e 3 N x k S T y 5 C q L g 4 j j + E o U x 9 9 M L 5 s m z n 3 p / d G 7 9 a 6 v Z Q u e n k 9 t Q T G R V n r d m Y J E O s y 6 b r c X V H t s z W F z 4 7 v z U H z y 2 0 r q 8 P z / m G b 9 8 O P r Q G v E r M f v O w 8 9 x i s 7 k x e O / A j 9 O 8 3 9 g X q c z L 8 v E 7 4 L 7 s o W N 5 Y l k M x 6 + G Y b h p z E P e Z I O s m Q q H h s i b 0 1 w G 6 N h m I m E + / H T G b 2 E R + l 1 n E x G c T i d R N 7 f t / K O b G x I 6 + 7 O G s 1 + + s F N j H x + 2 A i v m / m N 4 1 Y L n U a Z Y 3 f y + v c t d G c d i 3 S c B L P v s 2 / 5 k W h 5 V C a / R 5 n 4 m s 0 P G o 6 n k 2 k o 2 4 P k 7 z C b 8 n B + y o 9 f R T K e / R g H 8 f / X e D p u X m 0 o b 3 A S x M l a p f v m h 4 M g K r 4 J L 5 V D 2 F I 5 i m V z M k J t Z H u k X 0 Y 3 s j U F u i H s p W 7 K w F 2 e Z c 5 y X k 5 e 3 O Z F O d 1 Q z j a U 2 x v K u x v K n Q 3 l 7 g 4 E n / p + V y 1 B 2 e c l Q u J R i h q k C d 1 / H 7 v / i n j a x F G v H + p R B s r Z S 8 d h L 5 V j q 5 e N N D q k l N + w C / 2 G r c R v 2 G / l N 0 o C 6 Z o E p F s I p K s E S F c P k G f d U i 0 R 1 K B A x U A q D K i Y Q c U 2 r a + A S 8 H E 0 R R a H J / 8 k s r Y A t F / / 0 F e E p T i 4 h R y c Z R w c W r C x T W Q i 1 v I x V X C x a 2 L F V s B o 9 y K A R y V c B j A M Q q O Y 2 j P A X e D S e + B D V X O 5 Q z Z H s W l g P Q K g f S U A O n V D 4 i G z g J Q d r N g i u d f a I U F O D B b 6 0 C U 9 x K A s u O C A 3 X V m 6 1 8 w Z F S J E + O d S 5 a l a d D S f 3 o a H E s Q E h Z E K N h t Y 6 V n S O r Y e S i b S x m B J A a j s P U h 5 I r R L R M J Q O V n a k w o G L Y n J g p f Q V c y v O k H C 1 c 2 j k Z C q k 5 7 y C p S 4 u 1 B f 2 8 I / 3 Y e h I D I a 3 0 3 S i o C w o C B V U b m B I z p L P 9 w L S S d O T Y t K b S 8 Z J g I t I s E S u 6 Y f g I O 0 c U U / b y p E 9 a Q U u d L O q Q I 0 L z O n S 9 T t U w k x q i m 6 3 D z G q 6 6 Y F u l O h m x d 5 o D L j A 6 m h W T 7 9 A C V u p h 6 i y O i a p B 2 x P H d S D l x n p f T 1 p z 2 V l g w s T 0 r G S h H T c N W 0 X Z k l W j 0 k F 2 B B Y h U k F W E l S A X Z q D o v p 6 V i k Q v I H L t z a j J V s b c a s 5 p x s T Z 2 q E q j C j R 9 Y y c Y P b O 8 J q J 6 e b K r S x g 9 Y b T O q 0 J b 9 B i M L d b z W I 1 A t S z Y U I t B X m r 9 4 4 w j U H P V A B F o H 9 a w O w L S l g Y B z 1 + D c d S y P M J g z 0 O j Z b T 2 P Z w O / / h p z g 6 S C Z c a K / H q b M E O k A 0 6 9 F t J Z M z s a H w 5 H w f B o U w 8 5 w s y A g M I 2 R j 1 g e 2 q h n j X b 4 4 D t A f V U t j 1 d s D 2 g n i q T G X 2 t T x G B 6 Q w d 0 x n Y L G Y w q 7 G l i 3 e 1 Z E N A l u 6 r m O g 3 z d L V M j w k k K m 7 t 9 p Z s z s 9 f S t d E F r s / T q p a 4 x 6 w P b U Q j 1 U 4 5 P w n j 0 b p 6 S A a K G A q J J 9 8 9 S M k W p 1 b M s 8 U M p M w / a u X n i z i 6 P v 6 9 r O B W 5 + z 7 c B a h k k V t I O O P l a a G f l l W h 6 H k U 8 j K Y 8 y O e l q O z w b f n R y z / g T W m a 3 5 S 2 D p Y B 2 J q C / Q 8 A A P / / A w B Q S w E C L Q A U A A Y A C A A A A C E A K t 2 q Q N I A A A A 3 A Q A A E w A A A A A A A A A A A A A A A A A A A A A A W 0 N v b n R l b n R f V H l w Z X N d L n h t b F B L A Q I t A B Q A A g A I A A A A I Q D / M 4 D G r Q A A A P c A A A A S A A A A A A A A A A A A A A A A A A s D A A B D b 2 5 m a W c v U G F j a 2 F n Z S 5 4 b W x Q S w E C L Q A U A A I A C A A A A C E A U c 5 V o O E E A A A Q c w A A E w A A A A A A A A A A A A A A A A D o A w A A R m 9 y b X V s Y X M v U 2 V j d G l v b j E u b V B L B Q Y A A A A A A w A D A M I A A A D 6 C A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6 G 4 C A A A A A A D G b g I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I x J T I w K F B h Z 2 U l M j A x N i 0 x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1 O j U 3 O j U 1 L j Q 5 N D g 5 N z h a I i 8 + P E V u d H J 5 I F R 5 c G U 9 I k Z p b G x D b 2 x 1 b W 5 U e X B l c y I g V m F s d W U 9 I n N B d 1 l H Q m c 9 P S I v P j x F b n R y e S B U e X B l P S J G a W x s Q 2 9 s d W 1 u T m F t Z X M i I F Z h b H V l P S J z W y Z x d W 9 0 O 0 P D s 2 R p Z 2 8 g Z G F c b k N v b n R h J n F 1 b 3 Q 7 L C Z x d W 9 0 O 0 R l c 2 N y a c O n w 6 N v I G R h I E N v b n R h J n F 1 b 3 Q 7 L C Z x d W 9 0 O 0 F j d W 1 1 b G F k b y B k b y B B d H V h b F x u R X h l c m P D r W N p b y Z x d W 9 0 O y w m c X V v d D t B Y 3 V t d W x h Z G 8 g Z G 8 g R X h l c m P D r W N p b 1 x u Q W 5 0 Z X J p b 3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S A o U G F n Z S A x N i 0 x N y k v Q X V 0 b 1 J l b W 9 2 Z W R D b 2 x 1 b W 5 z M S 5 7 Q 8 O z Z G l n b y B k Y V x u Q 2 9 u d G E s M H 0 m c X V v d D s s J n F 1 b 3 Q 7 U 2 V j d G l v b j E v V G F i b G U w M j E g K F B h Z 2 U g M T Y t M T c p L 0 F 1 d G 9 S Z W 1 v d m V k Q 2 9 s d W 1 u c z E u e 0 R l c 2 N y a c O n w 6 N v I G R h I E N v b n R h L D F 9 J n F 1 b 3 Q 7 L C Z x d W 9 0 O 1 N l Y 3 R p b 2 4 x L 1 R h Y m x l M D I x I C h Q Y W d l I D E 2 L T E 3 K S 9 B d X R v U m V t b 3 Z l Z E N v b H V t b n M x L n t B Y 3 V t d W x h Z G 8 g Z G 8 g Q X R 1 Y W x c b k V 4 Z X J j w 6 1 j a W 8 s M n 0 m c X V v d D s s J n F 1 b 3 Q 7 U 2 V j d G l v b j E v V G F i b G U w M j E g K F B h Z 2 U g M T Y t M T c p L 0 F 1 d G 9 S Z W 1 v d m V k Q 2 9 s d W 1 u c z E u e 0 F j d W 1 1 b G F k b y B k b y B F e G V y Y 8 O t Y 2 l v X G 5 B b n R l c m l v c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y M S A o U G F n Z S A x N i 0 x N y k v Q X V 0 b 1 J l b W 9 2 Z W R D b 2 x 1 b W 5 z M S 5 7 Q 8 O z Z G l n b y B k Y V x u Q 2 9 u d G E s M H 0 m c X V v d D s s J n F 1 b 3 Q 7 U 2 V j d G l v b j E v V G F i b G U w M j E g K F B h Z 2 U g M T Y t M T c p L 0 F 1 d G 9 S Z W 1 v d m V k Q 2 9 s d W 1 u c z E u e 0 R l c 2 N y a c O n w 6 N v I G R h I E N v b n R h L D F 9 J n F 1 b 3 Q 7 L C Z x d W 9 0 O 1 N l Y 3 R p b 2 4 x L 1 R h Y m x l M D I x I C h Q Y W d l I D E 2 L T E 3 K S 9 B d X R v U m V t b 3 Z l Z E N v b H V t b n M x L n t B Y 3 V t d W x h Z G 8 g Z G 8 g Q X R 1 Y W x c b k V 4 Z X J j w 6 1 j a W 8 s M n 0 m c X V v d D s s J n F 1 b 3 Q 7 U 2 V j d G l v b j E v V G F i b G U w M j E g K F B h Z 2 U g M T Y t M T c p L 0 F 1 d G 9 S Z W 1 v d m V k Q 2 9 s d W 1 u c z E u e 0 F j d W 1 1 b G F k b y B k b y B F e G V y Y 8 O t Y 2 l v X G 5 B b n R l c m l v c i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1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2 O j A z O j A 0 L j I 2 O D U 5 M z l a I i 8 + P E V u d H J 5 I F R 5 c G U 9 I k Z p b G x D b 2 x 1 b W 5 U e X B l c y I g V m F s d W U 9 I n N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c p L 0 F 1 d G 9 S Z W 1 v d m V k Q 2 9 s d W 1 u c z E u e 0 N v b H V t b j E s M H 0 m c X V v d D s s J n F 1 b 3 Q 7 U 2 V j d G l v b j E v V G F i b G U w M T M g K F B h Z 2 U g M T c p L 0 F 1 d G 9 S Z W 1 v d m V k Q 2 9 s d W 1 u c z E u e 0 N v b H V t b j I s M X 0 m c X V v d D s s J n F 1 b 3 Q 7 U 2 V j d G l v b j E v V G F i b G U w M T M g K F B h Z 2 U g M T c p L 0 F 1 d G 9 S Z W 1 v d m V k Q 2 9 s d W 1 u c z E u e 0 N v b H V t b j M s M n 0 m c X V v d D s s J n F 1 b 3 Q 7 U 2 V j d G l v b j E v V G F i b G U w M T M g K F B h Z 2 U g M T c p L 0 F 1 d G 9 S Z W 1 v d m V k Q 2 9 s d W 1 u c z E u e 0 N v b H V t b j Q s M 3 0 m c X V v d D s s J n F 1 b 3 Q 7 U 2 V j d G l v b j E v V G F i b G U w M T M g K F B h Z 2 U g M T c p L 0 F 1 d G 9 S Z W 1 v d m V k Q 2 9 s d W 1 u c z E u e 0 N v b H V t b j U s N H 0 m c X V v d D s s J n F 1 b 3 Q 7 U 2 V j d G l v b j E v V G F i b G U w M T M g K F B h Z 2 U g M T c p L 0 F 1 d G 9 S Z W 1 v d m V k Q 2 9 s d W 1 u c z E u e 0 N v b H V t b j Y s N X 0 m c X V v d D s s J n F 1 b 3 Q 7 U 2 V j d G l v b j E v V G F i b G U w M T M g K F B h Z 2 U g M T c p L 0 F 1 d G 9 S Z W 1 v d m V k Q 2 9 s d W 1 u c z E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T M g K F B h Z 2 U g M T c p L 0 F 1 d G 9 S Z W 1 v d m V k Q 2 9 s d W 1 u c z E u e 0 N v b H V t b j E s M H 0 m c X V v d D s s J n F 1 b 3 Q 7 U 2 V j d G l v b j E v V G F i b G U w M T M g K F B h Z 2 U g M T c p L 0 F 1 d G 9 S Z W 1 v d m V k Q 2 9 s d W 1 u c z E u e 0 N v b H V t b j I s M X 0 m c X V v d D s s J n F 1 b 3 Q 7 U 2 V j d G l v b j E v V G F i b G U w M T M g K F B h Z 2 U g M T c p L 0 F 1 d G 9 S Z W 1 v d m V k Q 2 9 s d W 1 u c z E u e 0 N v b H V t b j M s M n 0 m c X V v d D s s J n F 1 b 3 Q 7 U 2 V j d G l v b j E v V G F i b G U w M T M g K F B h Z 2 U g M T c p L 0 F 1 d G 9 S Z W 1 v d m V k Q 2 9 s d W 1 u c z E u e 0 N v b H V t b j Q s M 3 0 m c X V v d D s s J n F 1 b 3 Q 7 U 2 V j d G l v b j E v V G F i b G U w M T M g K F B h Z 2 U g M T c p L 0 F 1 d G 9 S Z W 1 v d m V k Q 2 9 s d W 1 u c z E u e 0 N v b H V t b j U s N H 0 m c X V v d D s s J n F 1 b 3 Q 7 U 2 V j d G l v b j E v V G F i b G U w M T M g K F B h Z 2 U g M T c p L 0 F 1 d G 9 S Z W 1 v d m V k Q 2 9 s d W 1 u c z E u e 0 N v b H V t b j Y s N X 0 m c X V v d D s s J n F 1 b 3 Q 7 U 2 V j d G l v b j E v V G F i b G U w M T M g K F B h Z 2 U g M T c p L 0 F 1 d G 9 S Z W 1 v d m V k Q 2 9 s d W 1 u c z E u e 0 N v b H V t b j c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x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D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N j o x M D o y M S 4 x N D k y N z U 2 W i I v P j x F b n R y e S B U e X B l P S J G a W x s Q 2 9 s d W 1 u V H l w Z X M i I F Z h b H V l P S J z Q X d Z R 0 J n P T 0 i L z 4 8 R W 5 0 c n k g V H l w Z T 0 i R m l s b E N v b H V t b k 5 h b W V z I i B W Y W x 1 Z T 0 i c 1 s m c X V v d D t D w 7 N k a W d v I G R h X G 5 D b 2 5 0 Y S Z x d W 9 0 O y w m c X V v d D t E Z X N j c m n D p 8 O j b y B k Y S B D b 2 5 0 Y S Z x d W 9 0 O y w m c X V v d D t B Y 3 V t d W x h Z G 8 g Z G 8 g Q X R 1 Y W x c b k V 4 Z X J j w 6 1 j a W 8 m c X V v d D s s J n F 1 b 3 Q 7 Q W N 1 b X V s Y W R v I G R v I E V 4 Z X J j w 6 1 j a W 9 c b k F u d G V y a W 9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T U p L 0 F 1 d G 9 S Z W 1 v d m V k Q 2 9 s d W 1 u c z E u e 0 P D s 2 R p Z 2 8 g Z G F c b k N v b n R h L D B 9 J n F 1 b 3 Q 7 L C Z x d W 9 0 O 1 N l Y 3 R p b 2 4 x L 1 R h Y m x l M D I x I C h Q Y W d l I D E 1 K S 9 B d X R v U m V t b 3 Z l Z E N v b H V t b n M x L n t E Z X N j c m n D p 8 O j b y B k Y S B D b 2 5 0 Y S w x f S Z x d W 9 0 O y w m c X V v d D t T Z W N 0 a W 9 u M S 9 U Y W J s Z T A y M S A o U G F n Z S A x N S k v Q X V 0 b 1 J l b W 9 2 Z W R D b 2 x 1 b W 5 z M S 5 7 Q W N 1 b X V s Y W R v I G R v I E F 0 d W F s X G 5 F e G V y Y 8 O t Y 2 l v L D J 9 J n F 1 b 3 Q 7 L C Z x d W 9 0 O 1 N l Y 3 R p b 2 4 x L 1 R h Y m x l M D I x I C h Q Y W d l I D E 1 K S 9 B d X R v U m V t b 3 Z l Z E N v b H V t b n M x L n t B Y 3 V t d W x h Z G 8 g Z G 8 g R X h l c m P D r W N p b 1 x u Q W 5 0 Z X J p b 3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j E g K F B h Z 2 U g M T U p L 0 F 1 d G 9 S Z W 1 v d m V k Q 2 9 s d W 1 u c z E u e 0 P D s 2 R p Z 2 8 g Z G F c b k N v b n R h L D B 9 J n F 1 b 3 Q 7 L C Z x d W 9 0 O 1 N l Y 3 R p b 2 4 x L 1 R h Y m x l M D I x I C h Q Y W d l I D E 1 K S 9 B d X R v U m V t b 3 Z l Z E N v b H V t b n M x L n t E Z X N j c m n D p 8 O j b y B k Y S B D b 2 5 0 Y S w x f S Z x d W 9 0 O y w m c X V v d D t T Z W N 0 a W 9 u M S 9 U Y W J s Z T A y M S A o U G F n Z S A x N S k v Q X V 0 b 1 J l b W 9 2 Z W R D b 2 x 1 b W 5 z M S 5 7 Q W N 1 b X V s Y W R v I G R v I E F 0 d W F s X G 5 F e G V y Y 8 O t Y 2 l v L D J 9 J n F 1 b 3 Q 7 L C Z x d W 9 0 O 1 N l Y 3 R p b 2 4 x L 1 R h Y m x l M D I x I C h Q Y W d l I D E 1 K S 9 B d X R v U m V t b 3 Z l Z E N v b H V t b n M x L n t B Y 3 V t d W x h Z G 8 g Z G 8 g R X h l c m P D r W N p b 1 x u Q W 5 0 Z X J p b 3 I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x N S 0 x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D c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N j o y O D o 1 N C 4 w N z Q z M T Y x W i I v P j x F b n R y e S B U e X B l P S J G a W x s Q 2 9 s d W 1 u V H l w Z X M i I F Z h b H V l P S J z Q X d Z R 0 J n P T 0 i L z 4 8 R W 5 0 c n k g V H l w Z T 0 i R m l s b E N v b H V t b k 5 h b W V z I i B W Y W x 1 Z T 0 i c 1 s m c X V v d D t D w 7 N k a W d v I G R h X G 5 D b 2 5 0 Y S Z x d W 9 0 O y w m c X V v d D t E Z X N j c m n D p 8 O j b y B k Y S B D b 2 5 0 Y S Z x d W 9 0 O y w m c X V v d D t B Y 3 V t d W x h Z G 8 g Z G 8 g Q X R 1 Y W x c b k V 4 Z X J j w 6 1 j a W 8 m c X V v d D s s J n F 1 b 3 Q 7 Q W N 1 b X V s Y W R v I G R v I E V 4 Z X J j w 6 1 j a W 9 c b k F u d G V y a W 9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T U t M T Y p L 0 F 1 d G 9 S Z W 1 v d m V k Q 2 9 s d W 1 u c z E u e 0 P D s 2 R p Z 2 8 g Z G F c b k N v b n R h L D B 9 J n F 1 b 3 Q 7 L C Z x d W 9 0 O 1 N l Y 3 R p b 2 4 x L 1 R h Y m x l M D I x I C h Q Y W d l I D E 1 L T E 2 K S 9 B d X R v U m V t b 3 Z l Z E N v b H V t b n M x L n t E Z X N j c m n D p 8 O j b y B k Y S B D b 2 5 0 Y S w x f S Z x d W 9 0 O y w m c X V v d D t T Z W N 0 a W 9 u M S 9 U Y W J s Z T A y M S A o U G F n Z S A x N S 0 x N i k v Q X V 0 b 1 J l b W 9 2 Z W R D b 2 x 1 b W 5 z M S 5 7 Q W N 1 b X V s Y W R v I G R v I E F 0 d W F s X G 5 F e G V y Y 8 O t Y 2 l v L D J 9 J n F 1 b 3 Q 7 L C Z x d W 9 0 O 1 N l Y 3 R p b 2 4 x L 1 R h Y m x l M D I x I C h Q Y W d l I D E 1 L T E 2 K S 9 B d X R v U m V t b 3 Z l Z E N v b H V t b n M x L n t B Y 3 V t d W x h Z G 8 g Z G 8 g R X h l c m P D r W N p b 1 x u Q W 5 0 Z X J p b 3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j E g K F B h Z 2 U g M T U t M T Y p L 0 F 1 d G 9 S Z W 1 v d m V k Q 2 9 s d W 1 u c z E u e 0 P D s 2 R p Z 2 8 g Z G F c b k N v b n R h L D B 9 J n F 1 b 3 Q 7 L C Z x d W 9 0 O 1 N l Y 3 R p b 2 4 x L 1 R h Y m x l M D I x I C h Q Y W d l I D E 1 L T E 2 K S 9 B d X R v U m V t b 3 Z l Z E N v b H V t b n M x L n t E Z X N j c m n D p 8 O j b y B k Y S B D b 2 5 0 Y S w x f S Z x d W 9 0 O y w m c X V v d D t T Z W N 0 a W 9 u M S 9 U Y W J s Z T A y M S A o U G F n Z S A x N S 0 x N i k v Q X V 0 b 1 J l b W 9 2 Z W R D b 2 x 1 b W 5 z M S 5 7 Q W N 1 b X V s Y W R v I G R v I E F 0 d W F s X G 5 F e G V y Y 8 O t Y 2 l v L D J 9 J n F 1 b 3 Q 7 L C Z x d W 9 0 O 1 N l Y 3 R p b 2 4 x L 1 R h Y m x l M D I x I C h Q Y W d l I D E 1 L T E 2 K S 9 B d X R v U m V t b 3 Z l Z E N v b H V t b n M x L n t B Y 3 V t d W x h Z G 8 g Z G 8 g R X h l c m P D r W N p b 1 x u Q W 5 0 Z X J p b 3 I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N j o z M z o x M i 4 w M D Q 4 M D c 0 W i I v P j x F b n R y e S B U e X B l P S J G a W x s Q 2 9 s d W 1 u V H l w Z X M i I F Z h b H V l P S J z Q m d Z R 0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C A o U G F n Z S A x N C k v Q X V 0 b 1 J l b W 9 2 Z W R D b 2 x 1 b W 5 z M S 5 7 Q 2 9 s d W 1 u M S w w f S Z x d W 9 0 O y w m c X V v d D t T Z W N 0 a W 9 u M S 9 U Y W J s Z T A x N C A o U G F n Z S A x N C k v Q X V 0 b 1 J l b W 9 2 Z W R D b 2 x 1 b W 5 z M S 5 7 Q 2 9 s d W 1 u M i w x f S Z x d W 9 0 O y w m c X V v d D t T Z W N 0 a W 9 u M S 9 U Y W J s Z T A x N C A o U G F n Z S A x N C k v Q X V 0 b 1 J l b W 9 2 Z W R D b 2 x 1 b W 5 z M S 5 7 Q 2 9 s d W 1 u M y w y f S Z x d W 9 0 O y w m c X V v d D t T Z W N 0 a W 9 u M S 9 U Y W J s Z T A x N C A o U G F n Z S A x N C k v Q X V 0 b 1 J l b W 9 2 Z W R D b 2 x 1 b W 5 z M S 5 7 Q 2 9 s d W 1 u N C w z f S Z x d W 9 0 O y w m c X V v d D t T Z W N 0 a W 9 u M S 9 U Y W J s Z T A x N C A o U G F n Z S A x N C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x N C A o U G F n Z S A x N C k v Q X V 0 b 1 J l b W 9 2 Z W R D b 2 x 1 b W 5 z M S 5 7 Q 2 9 s d W 1 u M S w w f S Z x d W 9 0 O y w m c X V v d D t T Z W N 0 a W 9 u M S 9 U Y W J s Z T A x N C A o U G F n Z S A x N C k v Q X V 0 b 1 J l b W 9 2 Z W R D b 2 x 1 b W 5 z M S 5 7 Q 2 9 s d W 1 u M i w x f S Z x d W 9 0 O y w m c X V v d D t T Z W N 0 a W 9 u M S 9 U Y W J s Z T A x N C A o U G F n Z S A x N C k v Q X V 0 b 1 J l b W 9 2 Z W R D b 2 x 1 b W 5 z M S 5 7 Q 2 9 s d W 1 u M y w y f S Z x d W 9 0 O y w m c X V v d D t T Z W N 0 a W 9 u M S 9 U Y W J s Z T A x N C A o U G F n Z S A x N C k v Q X V 0 b 1 J l b W 9 2 Z W R D b 2 x 1 b W 5 z M S 5 7 Q 2 9 s d W 1 u N C w z f S Z x d W 9 0 O y w m c X V v d D t T Z W N 0 a W 9 u M S 9 U Y W J s Z T A x N C A o U G F n Z S A x N C k v Q X V 0 b 1 J l b W 9 2 Z W R D b 2 x 1 b W 5 z M S 5 7 Q 2 9 s d W 1 u N S w 0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U l M j A o U G F n Z S U y M D E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2 O j M 1 O j E 1 L j c 0 N T U 3 N j N a I i 8 + P E V u d H J 5 I F R 5 c G U 9 I k Z p b G x D b 2 x 1 b W 5 U e X B l c y I g V m F s d W U 9 I n N C Z 1 l H Q X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E 0 K S 9 B d X R v U m V t b 3 Z l Z E N v b H V t b n M x L n t D b 2 x 1 b W 4 x L D B 9 J n F 1 b 3 Q 7 L C Z x d W 9 0 O 1 N l Y 3 R p b 2 4 x L 1 R h Y m x l M D E 1 I C h Q Y W d l I D E 0 K S 9 B d X R v U m V t b 3 Z l Z E N v b H V t b n M x L n t D b 2 x 1 b W 4 y L D F 9 J n F 1 b 3 Q 7 L C Z x d W 9 0 O 1 N l Y 3 R p b 2 4 x L 1 R h Y m x l M D E 1 I C h Q Y W d l I D E 0 K S 9 B d X R v U m V t b 3 Z l Z E N v b H V t b n M x L n t D b 2 x 1 b W 4 z L D J 9 J n F 1 b 3 Q 7 L C Z x d W 9 0 O 1 N l Y 3 R p b 2 4 x L 1 R h Y m x l M D E 1 I C h Q Y W d l I D E 0 K S 9 B d X R v U m V t b 3 Z l Z E N v b H V t b n M x L n t D b 2 x 1 b W 4 0 L D N 9 J n F 1 b 3 Q 7 L C Z x d W 9 0 O 1 N l Y 3 R p b 2 4 x L 1 R h Y m x l M D E 1 I C h Q Y W d l I D E 0 K S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E 1 I C h Q Y W d l I D E 0 K S 9 B d X R v U m V t b 3 Z l Z E N v b H V t b n M x L n t D b 2 x 1 b W 4 x L D B 9 J n F 1 b 3 Q 7 L C Z x d W 9 0 O 1 N l Y 3 R p b 2 4 x L 1 R h Y m x l M D E 1 I C h Q Y W d l I D E 0 K S 9 B d X R v U m V t b 3 Z l Z E N v b H V t b n M x L n t D b 2 x 1 b W 4 y L D F 9 J n F 1 b 3 Q 7 L C Z x d W 9 0 O 1 N l Y 3 R p b 2 4 x L 1 R h Y m x l M D E 1 I C h Q Y W d l I D E 0 K S 9 B d X R v U m V t b 3 Z l Z E N v b H V t b n M x L n t D b 2 x 1 b W 4 z L D J 9 J n F 1 b 3 Q 7 L C Z x d W 9 0 O 1 N l Y 3 R p b 2 4 x L 1 R h Y m x l M D E 1 I C h Q Y W d l I D E 0 K S 9 B d X R v U m V t b 3 Z l Z E N v b H V t b n M x L n t D b 2 x 1 b W 4 0 L D N 9 J n F 1 b 3 Q 7 L C Z x d W 9 0 O 1 N l Y 3 R p b 2 4 x L 1 R h Y m x l M D E 1 I C h Q Y W d l I D E 0 K S 9 B d X R v U m V t b 3 Z l Z E N v b H V t b n M x L n t D b 2 x 1 b W 4 1 L D R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S U y M C h Q Y W d l J T I w M T Q p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Y 6 M z U 6 M T U u N z Q 1 N T c 2 M 1 o i L z 4 8 R W 5 0 c n k g V H l w Z T 0 i R m l s b E N v b H V t b l R 5 c G V z I i B W Y W x 1 Z T 0 i c 0 J n W U d B d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Q p L 0 F 1 d G 9 S Z W 1 v d m V k Q 2 9 s d W 1 u c z E u e 0 N v b H V t b j E s M H 0 m c X V v d D s s J n F 1 b 3 Q 7 U 2 V j d G l v b j E v V G F i b G U w M T U g K F B h Z 2 U g M T Q p L 0 F 1 d G 9 S Z W 1 v d m V k Q 2 9 s d W 1 u c z E u e 0 N v b H V t b j I s M X 0 m c X V v d D s s J n F 1 b 3 Q 7 U 2 V j d G l v b j E v V G F i b G U w M T U g K F B h Z 2 U g M T Q p L 0 F 1 d G 9 S Z W 1 v d m V k Q 2 9 s d W 1 u c z E u e 0 N v b H V t b j M s M n 0 m c X V v d D s s J n F 1 b 3 Q 7 U 2 V j d G l v b j E v V G F i b G U w M T U g K F B h Z 2 U g M T Q p L 0 F 1 d G 9 S Z W 1 v d m V k Q 2 9 s d W 1 u c z E u e 0 N v b H V t b j Q s M 3 0 m c X V v d D s s J n F 1 b 3 Q 7 U 2 V j d G l v b j E v V G F i b G U w M T U g K F B h Z 2 U g M T Q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T U g K F B h Z 2 U g M T Q p L 0 F 1 d G 9 S Z W 1 v d m V k Q 2 9 s d W 1 u c z E u e 0 N v b H V t b j E s M H 0 m c X V v d D s s J n F 1 b 3 Q 7 U 2 V j d G l v b j E v V G F i b G U w M T U g K F B h Z 2 U g M T Q p L 0 F 1 d G 9 S Z W 1 v d m V k Q 2 9 s d W 1 u c z E u e 0 N v b H V t b j I s M X 0 m c X V v d D s s J n F 1 b 3 Q 7 U 2 V j d G l v b j E v V G F i b G U w M T U g K F B h Z 2 U g M T Q p L 0 F 1 d G 9 S Z W 1 v d m V k Q 2 9 s d W 1 u c z E u e 0 N v b H V t b j M s M n 0 m c X V v d D s s J n F 1 b 3 Q 7 U 2 V j d G l v b j E v V G F i b G U w M T U g K F B h Z 2 U g M T Q p L 0 F 1 d G 9 S Z W 1 v d m V k Q 2 9 s d W 1 u c z E u e 0 N v b H V t b j Q s M 3 0 m c X V v d D s s J n F 1 b 3 Q 7 U 2 V j d G l v b j E v V G F i b G U w M T U g K F B h Z 2 U g M T Q p L 0 F 1 d G 9 S Z W 1 v d m V k Q 2 9 s d W 1 u c z E u e 0 N v b H V t b j U s N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S U y M C h Q Y W d l J T I w M T Q p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N j o z N T o x N S 4 3 N D U 1 N z Y z W i I v P j x F b n R y e S B U e X B l P S J G a W x s Q 2 9 s d W 1 u V H l w Z X M i I F Z h b H V l P S J z Q m d Z R 0 F 3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S A o U G F n Z S A x N C k v Q X V 0 b 1 J l b W 9 2 Z W R D b 2 x 1 b W 5 z M S 5 7 Q 2 9 s d W 1 u M S w w f S Z x d W 9 0 O y w m c X V v d D t T Z W N 0 a W 9 u M S 9 U Y W J s Z T A x N S A o U G F n Z S A x N C k v Q X V 0 b 1 J l b W 9 2 Z W R D b 2 x 1 b W 5 z M S 5 7 Q 2 9 s d W 1 u M i w x f S Z x d W 9 0 O y w m c X V v d D t T Z W N 0 a W 9 u M S 9 U Y W J s Z T A x N S A o U G F n Z S A x N C k v Q X V 0 b 1 J l b W 9 2 Z W R D b 2 x 1 b W 5 z M S 5 7 Q 2 9 s d W 1 u M y w y f S Z x d W 9 0 O y w m c X V v d D t T Z W N 0 a W 9 u M S 9 U Y W J s Z T A x N S A o U G F n Z S A x N C k v Q X V 0 b 1 J l b W 9 2 Z W R D b 2 x 1 b W 5 z M S 5 7 Q 2 9 s d W 1 u N C w z f S Z x d W 9 0 O y w m c X V v d D t T Z W N 0 a W 9 u M S 9 U Y W J s Z T A x N S A o U G F n Z S A x N C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x N S A o U G F n Z S A x N C k v Q X V 0 b 1 J l b W 9 2 Z W R D b 2 x 1 b W 5 z M S 5 7 Q 2 9 s d W 1 u M S w w f S Z x d W 9 0 O y w m c X V v d D t T Z W N 0 a W 9 u M S 9 U Y W J s Z T A x N S A o U G F n Z S A x N C k v Q X V 0 b 1 J l b W 9 2 Z W R D b 2 x 1 b W 5 z M S 5 7 Q 2 9 s d W 1 u M i w x f S Z x d W 9 0 O y w m c X V v d D t T Z W N 0 a W 9 u M S 9 U Y W J s Z T A x N S A o U G F n Z S A x N C k v Q X V 0 b 1 J l b W 9 2 Z W R D b 2 x 1 b W 5 z M S 5 7 Q 2 9 s d W 1 u M y w y f S Z x d W 9 0 O y w m c X V v d D t T Z W N 0 a W 9 u M S 9 U Y W J s Z T A x N S A o U G F n Z S A x N C k v Q X V 0 b 1 J l b W 9 2 Z W R D b 2 x 1 b W 5 z M S 5 7 Q 2 9 s d W 1 u N C w z f S Z x d W 9 0 O y w m c X V v d D t T Z W N 0 a W 9 u M S 9 U Y W J s Z T A x N S A o U G F n Z S A x N C k v Q X V 0 b 1 J l b W 9 2 Z W R D b 2 x 1 b W 5 z M S 5 7 Q 2 9 s d W 1 u N S w 0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N C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2 O j M z O j E y L j A w N D g w N z R a I i 8 + P E V u d H J 5 I F R 5 c G U 9 I k Z p b G x D b 2 x 1 b W 5 U e X B l c y I g V m F s d W U 9 I n N C Z 1 l H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0 I C h Q Y W d l I D E 0 K S 9 B d X R v U m V t b 3 Z l Z E N v b H V t b n M x L n t D b 2 x 1 b W 4 x L D B 9 J n F 1 b 3 Q 7 L C Z x d W 9 0 O 1 N l Y 3 R p b 2 4 x L 1 R h Y m x l M D E 0 I C h Q Y W d l I D E 0 K S 9 B d X R v U m V t b 3 Z l Z E N v b H V t b n M x L n t D b 2 x 1 b W 4 y L D F 9 J n F 1 b 3 Q 7 L C Z x d W 9 0 O 1 N l Y 3 R p b 2 4 x L 1 R h Y m x l M D E 0 I C h Q Y W d l I D E 0 K S 9 B d X R v U m V t b 3 Z l Z E N v b H V t b n M x L n t D b 2 x 1 b W 4 z L D J 9 J n F 1 b 3 Q 7 L C Z x d W 9 0 O 1 N l Y 3 R p b 2 4 x L 1 R h Y m x l M D E 0 I C h Q Y W d l I D E 0 K S 9 B d X R v U m V t b 3 Z l Z E N v b H V t b n M x L n t D b 2 x 1 b W 4 0 L D N 9 J n F 1 b 3 Q 7 L C Z x d W 9 0 O 1 N l Y 3 R p b 2 4 x L 1 R h Y m x l M D E 0 I C h Q Y W d l I D E 0 K S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E 0 I C h Q Y W d l I D E 0 K S 9 B d X R v U m V t b 3 Z l Z E N v b H V t b n M x L n t D b 2 x 1 b W 4 x L D B 9 J n F 1 b 3 Q 7 L C Z x d W 9 0 O 1 N l Y 3 R p b 2 4 x L 1 R h Y m x l M D E 0 I C h Q Y W d l I D E 0 K S 9 B d X R v U m V t b 3 Z l Z E N v b H V t b n M x L n t D b 2 x 1 b W 4 y L D F 9 J n F 1 b 3 Q 7 L C Z x d W 9 0 O 1 N l Y 3 R p b 2 4 x L 1 R h Y m x l M D E 0 I C h Q Y W d l I D E 0 K S 9 B d X R v U m V t b 3 Z l Z E N v b H V t b n M x L n t D b 2 x 1 b W 4 z L D J 9 J n F 1 b 3 Q 7 L C Z x d W 9 0 O 1 N l Y 3 R p b 2 4 x L 1 R h Y m x l M D E 0 I C h Q Y W d l I D E 0 K S 9 B d X R v U m V t b 3 Z l Z E N v b H V t b n M x L n t D b 2 x 1 b W 4 0 L D N 9 J n F 1 b 3 Q 7 L C Z x d W 9 0 O 1 N l Y 3 R p b 2 4 x L 1 R h Y m x l M D E 0 I C h Q Y W d l I D E 0 K S 9 B d X R v U m V t b 3 Z l Z E N v b H V t b n M x L n t D b 2 x 1 b W 4 1 L D R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Y l M j A o U G F n Z S U y M D E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2 O j Q 0 O j U w L j Q x O D k 2 M j B a I i 8 + P E V u d H J 5 I F R 5 c G U 9 I k Z p b G x D b 2 x 1 b W 5 U e X B l c y I g V m F s d W U 9 I n N C Z 1 l H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2 I C h Q Y W d l I D E 1 K S 9 B d X R v U m V t b 3 Z l Z E N v b H V t b n M x L n t D b 2 x 1 b W 4 x L D B 9 J n F 1 b 3 Q 7 L C Z x d W 9 0 O 1 N l Y 3 R p b 2 4 x L 1 R h Y m x l M D E 2 I C h Q Y W d l I D E 1 K S 9 B d X R v U m V t b 3 Z l Z E N v b H V t b n M x L n t D b 2 x 1 b W 4 y L D F 9 J n F 1 b 3 Q 7 L C Z x d W 9 0 O 1 N l Y 3 R p b 2 4 x L 1 R h Y m x l M D E 2 I C h Q Y W d l I D E 1 K S 9 B d X R v U m V t b 3 Z l Z E N v b H V t b n M x L n t D b 2 x 1 b W 4 z L D J 9 J n F 1 b 3 Q 7 L C Z x d W 9 0 O 1 N l Y 3 R p b 2 4 x L 1 R h Y m x l M D E 2 I C h Q Y W d l I D E 1 K S 9 B d X R v U m V t b 3 Z l Z E N v b H V t b n M x L n t D b 2 x 1 b W 4 0 L D N 9 J n F 1 b 3 Q 7 L C Z x d W 9 0 O 1 N l Y 3 R p b 2 4 x L 1 R h Y m x l M D E 2 I C h Q Y W d l I D E 1 K S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E 2 I C h Q Y W d l I D E 1 K S 9 B d X R v U m V t b 3 Z l Z E N v b H V t b n M x L n t D b 2 x 1 b W 4 x L D B 9 J n F 1 b 3 Q 7 L C Z x d W 9 0 O 1 N l Y 3 R p b 2 4 x L 1 R h Y m x l M D E 2 I C h Q Y W d l I D E 1 K S 9 B d X R v U m V t b 3 Z l Z E N v b H V t b n M x L n t D b 2 x 1 b W 4 y L D F 9 J n F 1 b 3 Q 7 L C Z x d W 9 0 O 1 N l Y 3 R p b 2 4 x L 1 R h Y m x l M D E 2 I C h Q Y W d l I D E 1 K S 9 B d X R v U m V t b 3 Z l Z E N v b H V t b n M x L n t D b 2 x 1 b W 4 z L D J 9 J n F 1 b 3 Q 7 L C Z x d W 9 0 O 1 N l Y 3 R p b 2 4 x L 1 R h Y m x l M D E 2 I C h Q Y W d l I D E 1 K S 9 B d X R v U m V t b 3 Z l Z E N v b H V t b n M x L n t D b 2 x 1 b W 4 0 L D N 9 J n F 1 b 3 Q 7 L C Z x d W 9 0 O 1 N l Y 3 R p b 2 4 x L 1 R h Y m x l M D E 2 I C h Q Y W d l I D E 1 K S 9 B d X R v U m V t b 3 Z l Z E N v b H V t b n M x L n t D b 2 x 1 b W 4 1 L D R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Y 6 N D U 6 M T M u O D M z M T Y 2 M l o i L z 4 8 R W 5 0 c n k g V H l w Z T 0 i R m l s b E N v b H V t b l R 5 c G V z I i B W Y W x 1 Z T 0 i c 0 J n W U d B d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U p L 0 F 1 d G 9 S Z W 1 v d m V k Q 2 9 s d W 1 u c z E u e 0 N v b H V t b j E s M H 0 m c X V v d D s s J n F 1 b 3 Q 7 U 2 V j d G l v b j E v V G F i b G U w M T c g K F B h Z 2 U g M T U p L 0 F 1 d G 9 S Z W 1 v d m V k Q 2 9 s d W 1 u c z E u e 0 N v b H V t b j I s M X 0 m c X V v d D s s J n F 1 b 3 Q 7 U 2 V j d G l v b j E v V G F i b G U w M T c g K F B h Z 2 U g M T U p L 0 F 1 d G 9 S Z W 1 v d m V k Q 2 9 s d W 1 u c z E u e 0 N v b H V t b j M s M n 0 m c X V v d D s s J n F 1 b 3 Q 7 U 2 V j d G l v b j E v V G F i b G U w M T c g K F B h Z 2 U g M T U p L 0 F 1 d G 9 S Z W 1 v d m V k Q 2 9 s d W 1 u c z E u e 0 N v b H V t b j Q s M 3 0 m c X V v d D s s J n F 1 b 3 Q 7 U 2 V j d G l v b j E v V G F i b G U w M T c g K F B h Z 2 U g M T U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T c g K F B h Z 2 U g M T U p L 0 F 1 d G 9 S Z W 1 v d m V k Q 2 9 s d W 1 u c z E u e 0 N v b H V t b j E s M H 0 m c X V v d D s s J n F 1 b 3 Q 7 U 2 V j d G l v b j E v V G F i b G U w M T c g K F B h Z 2 U g M T U p L 0 F 1 d G 9 S Z W 1 v d m V k Q 2 9 s d W 1 u c z E u e 0 N v b H V t b j I s M X 0 m c X V v d D s s J n F 1 b 3 Q 7 U 2 V j d G l v b j E v V G F i b G U w M T c g K F B h Z 2 U g M T U p L 0 F 1 d G 9 S Z W 1 v d m V k Q 2 9 s d W 1 u c z E u e 0 N v b H V t b j M s M n 0 m c X V v d D s s J n F 1 b 3 Q 7 U 2 V j d G l v b j E v V G F i b G U w M T c g K F B h Z 2 U g M T U p L 0 F 1 d G 9 S Z W 1 v d m V k Q 2 9 s d W 1 u c z E u e 0 N v b H V t b j Q s M 3 0 m c X V v d D s s J n F 1 b 3 Q 7 U 2 V j d G l v b j E v V G F i b G U w M T c g K F B h Z 2 U g M T U p L 0 F 1 d G 9 S Z W 1 v d m V k Q 2 9 s d W 1 u c z E u e 0 N v b H V t b j U s N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S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U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N j o 0 N T o x M y 4 4 M z M x N j Y y W i I v P j x F b n R y e S B U e X B l P S J G a W x s Q 2 9 s d W 1 u V H l w Z X M i I F Z h b H V l P S J z Q m d Z R 0 F 3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S k v Q X V 0 b 1 J l b W 9 2 Z W R D b 2 x 1 b W 5 z M S 5 7 Q 2 9 s d W 1 u M S w w f S Z x d W 9 0 O y w m c X V v d D t T Z W N 0 a W 9 u M S 9 U Y W J s Z T A x N y A o U G F n Z S A x N S k v Q X V 0 b 1 J l b W 9 2 Z W R D b 2 x 1 b W 5 z M S 5 7 Q 2 9 s d W 1 u M i w x f S Z x d W 9 0 O y w m c X V v d D t T Z W N 0 a W 9 u M S 9 U Y W J s Z T A x N y A o U G F n Z S A x N S k v Q X V 0 b 1 J l b W 9 2 Z W R D b 2 x 1 b W 5 z M S 5 7 Q 2 9 s d W 1 u M y w y f S Z x d W 9 0 O y w m c X V v d D t T Z W N 0 a W 9 u M S 9 U Y W J s Z T A x N y A o U G F n Z S A x N S k v Q X V 0 b 1 J l b W 9 2 Z W R D b 2 x 1 b W 5 z M S 5 7 Q 2 9 s d W 1 u N C w z f S Z x d W 9 0 O y w m c X V v d D t T Z W N 0 a W 9 u M S 9 U Y W J s Z T A x N y A o U G F n Z S A x N S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x N y A o U G F n Z S A x N S k v Q X V 0 b 1 J l b W 9 2 Z W R D b 2 x 1 b W 5 z M S 5 7 Q 2 9 s d W 1 u M S w w f S Z x d W 9 0 O y w m c X V v d D t T Z W N 0 a W 9 u M S 9 U Y W J s Z T A x N y A o U G F n Z S A x N S k v Q X V 0 b 1 J l b W 9 2 Z W R D b 2 x 1 b W 5 z M S 5 7 Q 2 9 s d W 1 u M i w x f S Z x d W 9 0 O y w m c X V v d D t T Z W N 0 a W 9 u M S 9 U Y W J s Z T A x N y A o U G F n Z S A x N S k v Q X V 0 b 1 J l b W 9 2 Z W R D b 2 x 1 b W 5 z M S 5 7 Q 2 9 s d W 1 u M y w y f S Z x d W 9 0 O y w m c X V v d D t T Z W N 0 a W 9 u M S 9 U Y W J s Z T A x N y A o U G F n Z S A x N S k v Q X V 0 b 1 J l b W 9 2 Z W R D b 2 x 1 b W 5 z M S 5 7 Q 2 9 s d W 1 u N C w z f S Z x d W 9 0 O y w m c X V v d D t T Z W N 0 a W 9 u M S 9 U Y W J s Z T A x N y A o U G F n Z S A x N S k v Q X V 0 b 1 J l b W 9 2 Z W R D b 2 x 1 b W 5 z M S 5 7 Q 2 9 s d W 1 u N S w 0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S k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2 O j Q 1 O j E z L j g z M z E 2 N j J a I i 8 + P E V u d H J 5 I F R 5 c G U 9 I k Z p b G x D b 2 x 1 b W 5 U e X B l c y I g V m F s d W U 9 I n N C Z 1 l H Q X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3 I C h Q Y W d l I D E 1 K S 9 B d X R v U m V t b 3 Z l Z E N v b H V t b n M x L n t D b 2 x 1 b W 4 x L D B 9 J n F 1 b 3 Q 7 L C Z x d W 9 0 O 1 N l Y 3 R p b 2 4 x L 1 R h Y m x l M D E 3 I C h Q Y W d l I D E 1 K S 9 B d X R v U m V t b 3 Z l Z E N v b H V t b n M x L n t D b 2 x 1 b W 4 y L D F 9 J n F 1 b 3 Q 7 L C Z x d W 9 0 O 1 N l Y 3 R p b 2 4 x L 1 R h Y m x l M D E 3 I C h Q Y W d l I D E 1 K S 9 B d X R v U m V t b 3 Z l Z E N v b H V t b n M x L n t D b 2 x 1 b W 4 z L D J 9 J n F 1 b 3 Q 7 L C Z x d W 9 0 O 1 N l Y 3 R p b 2 4 x L 1 R h Y m x l M D E 3 I C h Q Y W d l I D E 1 K S 9 B d X R v U m V t b 3 Z l Z E N v b H V t b n M x L n t D b 2 x 1 b W 4 0 L D N 9 J n F 1 b 3 Q 7 L C Z x d W 9 0 O 1 N l Y 3 R p b 2 4 x L 1 R h Y m x l M D E 3 I C h Q Y W d l I D E 1 K S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E 3 I C h Q Y W d l I D E 1 K S 9 B d X R v U m V t b 3 Z l Z E N v b H V t b n M x L n t D b 2 x 1 b W 4 x L D B 9 J n F 1 b 3 Q 7 L C Z x d W 9 0 O 1 N l Y 3 R p b 2 4 x L 1 R h Y m x l M D E 3 I C h Q Y W d l I D E 1 K S 9 B d X R v U m V t b 3 Z l Z E N v b H V t b n M x L n t D b 2 x 1 b W 4 y L D F 9 J n F 1 b 3 Q 7 L C Z x d W 9 0 O 1 N l Y 3 R p b 2 4 x L 1 R h Y m x l M D E 3 I C h Q Y W d l I D E 1 K S 9 B d X R v U m V t b 3 Z l Z E N v b H V t b n M x L n t D b 2 x 1 b W 4 z L D J 9 J n F 1 b 3 Q 7 L C Z x d W 9 0 O 1 N l Y 3 R p b 2 4 x L 1 R h Y m x l M D E 3 I C h Q Y W d l I D E 1 K S 9 B d X R v U m V t b 3 Z l Z E N v b H V t b n M x L n t D b 2 x 1 b W 4 0 L D N 9 J n F 1 b 3 Q 7 L C Z x d W 9 0 O 1 N l Y 3 R p b 2 4 x L 1 R h Y m x l M D E 3 I C h Q Y W d l I D E 1 K S 9 B d X R v U m V t b 3 Z l Z E N v b H V t b n M x L n t D b 2 x 1 b W 4 1 L D R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Y l M j A o U G F n Z S U y M D E 1 K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Y 6 N D Q 6 N T A u N D E 4 O T Y y M F o i L z 4 8 R W 5 0 c n k g V H l w Z T 0 i R m l s b E N v b H V t b l R 5 c G V z I i B W Y W x 1 Z T 0 i c 0 J n W U d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M T U p L 0 F 1 d G 9 S Z W 1 v d m V k Q 2 9 s d W 1 u c z E u e 0 N v b H V t b j E s M H 0 m c X V v d D s s J n F 1 b 3 Q 7 U 2 V j d G l v b j E v V G F i b G U w M T Y g K F B h Z 2 U g M T U p L 0 F 1 d G 9 S Z W 1 v d m V k Q 2 9 s d W 1 u c z E u e 0 N v b H V t b j I s M X 0 m c X V v d D s s J n F 1 b 3 Q 7 U 2 V j d G l v b j E v V G F i b G U w M T Y g K F B h Z 2 U g M T U p L 0 F 1 d G 9 S Z W 1 v d m V k Q 2 9 s d W 1 u c z E u e 0 N v b H V t b j M s M n 0 m c X V v d D s s J n F 1 b 3 Q 7 U 2 V j d G l v b j E v V G F i b G U w M T Y g K F B h Z 2 U g M T U p L 0 F 1 d G 9 S Z W 1 v d m V k Q 2 9 s d W 1 u c z E u e 0 N v b H V t b j Q s M 3 0 m c X V v d D s s J n F 1 b 3 Q 7 U 2 V j d G l v b j E v V G F i b G U w M T Y g K F B h Z 2 U g M T U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T Y g K F B h Z 2 U g M T U p L 0 F 1 d G 9 S Z W 1 v d m V k Q 2 9 s d W 1 u c z E u e 0 N v b H V t b j E s M H 0 m c X V v d D s s J n F 1 b 3 Q 7 U 2 V j d G l v b j E v V G F i b G U w M T Y g K F B h Z 2 U g M T U p L 0 F 1 d G 9 S Z W 1 v d m V k Q 2 9 s d W 1 u c z E u e 0 N v b H V t b j I s M X 0 m c X V v d D s s J n F 1 b 3 Q 7 U 2 V j d G l v b j E v V G F i b G U w M T Y g K F B h Z 2 U g M T U p L 0 F 1 d G 9 S Z W 1 v d m V k Q 2 9 s d W 1 u c z E u e 0 N v b H V t b j M s M n 0 m c X V v d D s s J n F 1 b 3 Q 7 U 2 V j d G l v b j E v V G F i b G U w M T Y g K F B h Z 2 U g M T U p L 0 F 1 d G 9 S Z W 1 v d m V k Q 2 9 s d W 1 u c z E u e 0 N v b H V t b j Q s M 3 0 m c X V v d D s s J n F 1 b 3 Q 7 U 2 V j d G l v b j E v V G F i b G U w M T Y g K F B h Z 2 U g M T U p L 0 F 1 d G 9 S Z W 1 v d m V k Q 2 9 s d W 1 u c z E u e 0 N v b H V t b j U s N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Y 6 N T E 6 N D Y u M z M 3 N z c x M V o i L z 4 8 R W 5 0 c n k g V H l w Z T 0 i R m l s b E N v b H V t b l R 5 c G V z I i B W Y W x 1 Z T 0 i c 0 J n W U d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j I p L 0 F 1 d G 9 S Z W 1 v d m V k Q 2 9 s d W 1 u c z E u e 0 N v b H V t b j E s M H 0 m c X V v d D s s J n F 1 b 3 Q 7 U 2 V j d G l v b j E v V G F i b G U w M T g g K F B h Z 2 U g M j I p L 0 F 1 d G 9 S Z W 1 v d m V k Q 2 9 s d W 1 u c z E u e 0 N v b H V t b j I s M X 0 m c X V v d D s s J n F 1 b 3 Q 7 U 2 V j d G l v b j E v V G F i b G U w M T g g K F B h Z 2 U g M j I p L 0 F 1 d G 9 S Z W 1 v d m V k Q 2 9 s d W 1 u c z E u e 0 N v b H V t b j M s M n 0 m c X V v d D s s J n F 1 b 3 Q 7 U 2 V j d G l v b j E v V G F i b G U w M T g g K F B h Z 2 U g M j I p L 0 F 1 d G 9 S Z W 1 v d m V k Q 2 9 s d W 1 u c z E u e 0 N v b H V t b j Q s M 3 0 m c X V v d D s s J n F 1 b 3 Q 7 U 2 V j d G l v b j E v V G F i b G U w M T g g K F B h Z 2 U g M j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T g g K F B h Z 2 U g M j I p L 0 F 1 d G 9 S Z W 1 v d m V k Q 2 9 s d W 1 u c z E u e 0 N v b H V t b j E s M H 0 m c X V v d D s s J n F 1 b 3 Q 7 U 2 V j d G l v b j E v V G F i b G U w M T g g K F B h Z 2 U g M j I p L 0 F 1 d G 9 S Z W 1 v d m V k Q 2 9 s d W 1 u c z E u e 0 N v b H V t b j I s M X 0 m c X V v d D s s J n F 1 b 3 Q 7 U 2 V j d G l v b j E v V G F i b G U w M T g g K F B h Z 2 U g M j I p L 0 F 1 d G 9 S Z W 1 v d m V k Q 2 9 s d W 1 u c z E u e 0 N v b H V t b j M s M n 0 m c X V v d D s s J n F 1 b 3 Q 7 U 2 V j d G l v b j E v V G F i b G U w M T g g K F B h Z 2 U g M j I p L 0 F 1 d G 9 S Z W 1 v d m V k Q 2 9 s d W 1 u c z E u e 0 N v b H V t b j Q s M 3 0 m c X V v d D s s J n F 1 b 3 Q 7 U 2 V j d G l v b j E v V G F i b G U w M T g g K F B h Z 2 U g M j I p L 0 F 1 d G 9 S Z W 1 v d m V k Q 2 9 s d W 1 u c z E u e 0 N v b H V t b j U s N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y M i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2 O j U x O j Q 2 L j M z N z c 3 M T F a I i 8 + P E V u d H J 5 I F R 5 c G U 9 I k Z p b G x D b 2 x 1 b W 5 U e X B l c y I g V m F s d W U 9 I n N C Z 1 l H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I y K S 9 B d X R v U m V t b 3 Z l Z E N v b H V t b n M x L n t D b 2 x 1 b W 4 x L D B 9 J n F 1 b 3 Q 7 L C Z x d W 9 0 O 1 N l Y 3 R p b 2 4 x L 1 R h Y m x l M D E 4 I C h Q Y W d l I D I y K S 9 B d X R v U m V t b 3 Z l Z E N v b H V t b n M x L n t D b 2 x 1 b W 4 y L D F 9 J n F 1 b 3 Q 7 L C Z x d W 9 0 O 1 N l Y 3 R p b 2 4 x L 1 R h Y m x l M D E 4 I C h Q Y W d l I D I y K S 9 B d X R v U m V t b 3 Z l Z E N v b H V t b n M x L n t D b 2 x 1 b W 4 z L D J 9 J n F 1 b 3 Q 7 L C Z x d W 9 0 O 1 N l Y 3 R p b 2 4 x L 1 R h Y m x l M D E 4 I C h Q Y W d l I D I y K S 9 B d X R v U m V t b 3 Z l Z E N v b H V t b n M x L n t D b 2 x 1 b W 4 0 L D N 9 J n F 1 b 3 Q 7 L C Z x d W 9 0 O 1 N l Y 3 R p b 2 4 x L 1 R h Y m x l M D E 4 I C h Q Y W d l I D I y K S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E 4 I C h Q Y W d l I D I y K S 9 B d X R v U m V t b 3 Z l Z E N v b H V t b n M x L n t D b 2 x 1 b W 4 x L D B 9 J n F 1 b 3 Q 7 L C Z x d W 9 0 O 1 N l Y 3 R p b 2 4 x L 1 R h Y m x l M D E 4 I C h Q Y W d l I D I y K S 9 B d X R v U m V t b 3 Z l Z E N v b H V t b n M x L n t D b 2 x 1 b W 4 y L D F 9 J n F 1 b 3 Q 7 L C Z x d W 9 0 O 1 N l Y 3 R p b 2 4 x L 1 R h Y m x l M D E 4 I C h Q Y W d l I D I y K S 9 B d X R v U m V t b 3 Z l Z E N v b H V t b n M x L n t D b 2 x 1 b W 4 z L D J 9 J n F 1 b 3 Q 7 L C Z x d W 9 0 O 1 N l Y 3 R p b 2 4 x L 1 R h Y m x l M D E 4 I C h Q Y W d l I D I y K S 9 B d X R v U m V t b 3 Z l Z E N v b H V t b n M x L n t D b 2 x 1 b W 4 0 L D N 9 J n F 1 b 3 Q 7 L C Z x d W 9 0 O 1 N l Y 3 R p b 2 4 x L 1 R h Y m x l M D E 4 I C h Q Y W d l I D I y K S 9 B d X R v U m V t b 3 Z l Z E N v b H V t b n M x L n t D b 2 x 1 b W 4 1 L D R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Y l M j A o U G F n Z S U y M D E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1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2 O j U 1 O j I y L j g 4 O D A 3 O D l a I i 8 + P E V u d H J 5 I F R 5 c G U 9 I k Z p b G x D b 2 x 1 b W 5 U e X B l c y I g V m F s d W U 9 I n N C Z 1 l H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2 I C h Q Y W d l I D E 0 K S 9 B d X R v U m V t b 3 Z l Z E N v b H V t b n M x L n t D b 2 x 1 b W 4 x L D B 9 J n F 1 b 3 Q 7 L C Z x d W 9 0 O 1 N l Y 3 R p b 2 4 x L 1 R h Y m x l M D E 2 I C h Q Y W d l I D E 0 K S 9 B d X R v U m V t b 3 Z l Z E N v b H V t b n M x L n t D b 2 x 1 b W 4 y L D F 9 J n F 1 b 3 Q 7 L C Z x d W 9 0 O 1 N l Y 3 R p b 2 4 x L 1 R h Y m x l M D E 2 I C h Q Y W d l I D E 0 K S 9 B d X R v U m V t b 3 Z l Z E N v b H V t b n M x L n t D b 2 x 1 b W 4 z L D J 9 J n F 1 b 3 Q 7 L C Z x d W 9 0 O 1 N l Y 3 R p b 2 4 x L 1 R h Y m x l M D E 2 I C h Q Y W d l I D E 0 K S 9 B d X R v U m V t b 3 Z l Z E N v b H V t b n M x L n t D b 2 x 1 b W 4 0 L D N 9 J n F 1 b 3 Q 7 L C Z x d W 9 0 O 1 N l Y 3 R p b 2 4 x L 1 R h Y m x l M D E 2 I C h Q Y W d l I D E 0 K S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E 2 I C h Q Y W d l I D E 0 K S 9 B d X R v U m V t b 3 Z l Z E N v b H V t b n M x L n t D b 2 x 1 b W 4 x L D B 9 J n F 1 b 3 Q 7 L C Z x d W 9 0 O 1 N l Y 3 R p b 2 4 x L 1 R h Y m x l M D E 2 I C h Q Y W d l I D E 0 K S 9 B d X R v U m V t b 3 Z l Z E N v b H V t b n M x L n t D b 2 x 1 b W 4 y L D F 9 J n F 1 b 3 Q 7 L C Z x d W 9 0 O 1 N l Y 3 R p b 2 4 x L 1 R h Y m x l M D E 2 I C h Q Y W d l I D E 0 K S 9 B d X R v U m V t b 3 Z l Z E N v b H V t b n M x L n t D b 2 x 1 b W 4 z L D J 9 J n F 1 b 3 Q 7 L C Z x d W 9 0 O 1 N l Y 3 R p b 2 4 x L 1 R h Y m x l M D E 2 I C h Q Y W d l I D E 0 K S 9 B d X R v U m V t b 3 Z l Z E N v b H V t b n M x L n t D b 2 x 1 b W 4 0 L D N 9 J n F 1 b 3 Q 7 L C Z x d W 9 0 O 1 N l Y 3 R p b 2 4 x L 1 R h Y m x l M D E 2 I C h Q Y W d l I D E 0 K S 9 B d X R v U m V t b 3 Z l Z E N v b H V t b n M x L n t D b 2 x 1 b W 4 1 L D R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Q p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N j o 1 N T o y M i 4 4 O D g w N z g 5 W i I v P j x F b n R y e S B U e X B l P S J G a W x s Q 2 9 s d W 1 u V H l w Z X M i I F Z h b H V l P S J z Q m d Z R 0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i A o U G F n Z S A x N C k v Q X V 0 b 1 J l b W 9 2 Z W R D b 2 x 1 b W 5 z M S 5 7 Q 2 9 s d W 1 u M S w w f S Z x d W 9 0 O y w m c X V v d D t T Z W N 0 a W 9 u M S 9 U Y W J s Z T A x N i A o U G F n Z S A x N C k v Q X V 0 b 1 J l b W 9 2 Z W R D b 2 x 1 b W 5 z M S 5 7 Q 2 9 s d W 1 u M i w x f S Z x d W 9 0 O y w m c X V v d D t T Z W N 0 a W 9 u M S 9 U Y W J s Z T A x N i A o U G F n Z S A x N C k v Q X V 0 b 1 J l b W 9 2 Z W R D b 2 x 1 b W 5 z M S 5 7 Q 2 9 s d W 1 u M y w y f S Z x d W 9 0 O y w m c X V v d D t T Z W N 0 a W 9 u M S 9 U Y W J s Z T A x N i A o U G F n Z S A x N C k v Q X V 0 b 1 J l b W 9 2 Z W R D b 2 x 1 b W 5 z M S 5 7 Q 2 9 s d W 1 u N C w z f S Z x d W 9 0 O y w m c X V v d D t T Z W N 0 a W 9 u M S 9 U Y W J s Z T A x N i A o U G F n Z S A x N C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x N i A o U G F n Z S A x N C k v Q X V 0 b 1 J l b W 9 2 Z W R D b 2 x 1 b W 5 z M S 5 7 Q 2 9 s d W 1 u M S w w f S Z x d W 9 0 O y w m c X V v d D t T Z W N 0 a W 9 u M S 9 U Y W J s Z T A x N i A o U G F n Z S A x N C k v Q X V 0 b 1 J l b W 9 2 Z W R D b 2 x 1 b W 5 z M S 5 7 Q 2 9 s d W 1 u M i w x f S Z x d W 9 0 O y w m c X V v d D t T Z W N 0 a W 9 u M S 9 U Y W J s Z T A x N i A o U G F n Z S A x N C k v Q X V 0 b 1 J l b W 9 2 Z W R D b 2 x 1 b W 5 z M S 5 7 Q 2 9 s d W 1 u M y w y f S Z x d W 9 0 O y w m c X V v d D t T Z W N 0 a W 9 u M S 9 U Y W J s Z T A x N i A o U G F n Z S A x N C k v Q X V 0 b 1 J l b W 9 2 Z W R D b 2 x 1 b W 5 z M S 5 7 Q 2 9 s d W 1 u N C w z f S Z x d W 9 0 O y w m c X V v d D t T Z W N 0 a W 9 u M S 9 U Y W J s Z T A x N i A o U G F n Z S A x N C k v Q X V 0 b 1 J l b W 9 2 Z W R D b 2 x 1 b W 5 z M S 5 7 Q 2 9 s d W 1 u N S w 0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N z o w M z o w M i 4 5 N T k 0 M z Q z W i I v P j x F b n R y e S B U e X B l P S J G a W x s Q 2 9 s d W 1 u V H l w Z X M i I F Z h b H V l P S J z Q m d Z R 0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S A o U G F n Z S A y N y k v Q X V 0 b 1 J l b W 9 2 Z W R D b 2 x 1 b W 5 z M S 5 7 Q 2 9 s d W 1 u M S w w f S Z x d W 9 0 O y w m c X V v d D t T Z W N 0 a W 9 u M S 9 U Y W J s Z T A y M S A o U G F n Z S A y N y k v Q X V 0 b 1 J l b W 9 2 Z W R D b 2 x 1 b W 5 z M S 5 7 Q 2 9 s d W 1 u M i w x f S Z x d W 9 0 O y w m c X V v d D t T Z W N 0 a W 9 u M S 9 U Y W J s Z T A y M S A o U G F n Z S A y N y k v Q X V 0 b 1 J l b W 9 2 Z W R D b 2 x 1 b W 5 z M S 5 7 Q 2 9 s d W 1 u M y w y f S Z x d W 9 0 O y w m c X V v d D t T Z W N 0 a W 9 u M S 9 U Y W J s Z T A y M S A o U G F n Z S A y N y k v Q X V 0 b 1 J l b W 9 2 Z W R D b 2 x 1 b W 5 z M S 5 7 Q 2 9 s d W 1 u N C w z f S Z x d W 9 0 O y w m c X V v d D t T Z W N 0 a W 9 u M S 9 U Y W J s Z T A y M S A o U G F n Z S A y N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M S A o U G F n Z S A y N y k v Q X V 0 b 1 J l b W 9 2 Z W R D b 2 x 1 b W 5 z M S 5 7 Q 2 9 s d W 1 u M S w w f S Z x d W 9 0 O y w m c X V v d D t T Z W N 0 a W 9 u M S 9 U Y W J s Z T A y M S A o U G F n Z S A y N y k v Q X V 0 b 1 J l b W 9 2 Z W R D b 2 x 1 b W 5 z M S 5 7 Q 2 9 s d W 1 u M i w x f S Z x d W 9 0 O y w m c X V v d D t T Z W N 0 a W 9 u M S 9 U Y W J s Z T A y M S A o U G F n Z S A y N y k v Q X V 0 b 1 J l b W 9 2 Z W R D b 2 x 1 b W 5 z M S 5 7 Q 2 9 s d W 1 u M y w y f S Z x d W 9 0 O y w m c X V v d D t T Z W N 0 a W 9 u M S 9 U Y W J s Z T A y M S A o U G F n Z S A y N y k v Q X V 0 b 1 J l b W 9 2 Z W R D b 2 x 1 b W 5 z M S 5 7 Q 2 9 s d W 1 u N C w z f S Z x d W 9 0 O y w m c X V v d D t T Z W N 0 a W 9 u M S 9 U Y W J s Z T A y M S A o U G F n Z S A y N y k v Q X V 0 b 1 J l b W 9 2 Z W R D b 2 x 1 b W 5 z M S 5 7 Q 2 9 s d W 1 u N S w 0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I 3 K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c 6 M D M 6 M D I u O T U 5 N D M 0 M 1 o i L z 4 8 R W 5 0 c n k g V H l w Z T 0 i R m l s b E N v b H V t b l R 5 c G V z I i B W Y W x 1 Z T 0 i c 0 J n W U d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j c p L 0 F 1 d G 9 S Z W 1 v d m V k Q 2 9 s d W 1 u c z E u e 0 N v b H V t b j E s M H 0 m c X V v d D s s J n F 1 b 3 Q 7 U 2 V j d G l v b j E v V G F i b G U w M j E g K F B h Z 2 U g M j c p L 0 F 1 d G 9 S Z W 1 v d m V k Q 2 9 s d W 1 u c z E u e 0 N v b H V t b j I s M X 0 m c X V v d D s s J n F 1 b 3 Q 7 U 2 V j d G l v b j E v V G F i b G U w M j E g K F B h Z 2 U g M j c p L 0 F 1 d G 9 S Z W 1 v d m V k Q 2 9 s d W 1 u c z E u e 0 N v b H V t b j M s M n 0 m c X V v d D s s J n F 1 b 3 Q 7 U 2 V j d G l v b j E v V G F i b G U w M j E g K F B h Z 2 U g M j c p L 0 F 1 d G 9 S Z W 1 v d m V k Q 2 9 s d W 1 u c z E u e 0 N v b H V t b j Q s M 3 0 m c X V v d D s s J n F 1 b 3 Q 7 U 2 V j d G l v b j E v V G F i b G U w M j E g K F B h Z 2 U g M j c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j E g K F B h Z 2 U g M j c p L 0 F 1 d G 9 S Z W 1 v d m V k Q 2 9 s d W 1 u c z E u e 0 N v b H V t b j E s M H 0 m c X V v d D s s J n F 1 b 3 Q 7 U 2 V j d G l v b j E v V G F i b G U w M j E g K F B h Z 2 U g M j c p L 0 F 1 d G 9 S Z W 1 v d m V k Q 2 9 s d W 1 u c z E u e 0 N v b H V t b j I s M X 0 m c X V v d D s s J n F 1 b 3 Q 7 U 2 V j d G l v b j E v V G F i b G U w M j E g K F B h Z 2 U g M j c p L 0 F 1 d G 9 S Z W 1 v d m V k Q 2 9 s d W 1 u c z E u e 0 N v b H V t b j M s M n 0 m c X V v d D s s J n F 1 b 3 Q 7 U 2 V j d G l v b j E v V G F i b G U w M j E g K F B h Z 2 U g M j c p L 0 F 1 d G 9 S Z W 1 v d m V k Q 2 9 s d W 1 u c z E u e 0 N v b H V t b j Q s M 3 0 m c X V v d D s s J n F 1 b 3 Q 7 U 2 V j d G l v b j E v V G F i b G U w M j E g K F B h Z 2 U g M j c p L 0 F 1 d G 9 S Z W 1 v d m V k Q 2 9 s d W 1 u c z E u e 0 N v b H V t b j U s N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c 6 M D g 6 M j E u M T A 1 N z A y N l o i L z 4 8 R W 5 0 c n k g V H l w Z T 0 i R m l s b E N v b H V t b l R 5 c G V z I i B W Y W x 1 Z T 0 i c 0 J n W U d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Y p L 0 F 1 d G 9 S Z W 1 v d m V k Q 2 9 s d W 1 u c z E u e 0 N v b H V t b j E s M H 0 m c X V v d D s s J n F 1 b 3 Q 7 U 2 V j d G l v b j E v V G F i b G U w M T c g K F B h Z 2 U g M T Y p L 0 F 1 d G 9 S Z W 1 v d m V k Q 2 9 s d W 1 u c z E u e 0 N v b H V t b j I s M X 0 m c X V v d D s s J n F 1 b 3 Q 7 U 2 V j d G l v b j E v V G F i b G U w M T c g K F B h Z 2 U g M T Y p L 0 F 1 d G 9 S Z W 1 v d m V k Q 2 9 s d W 1 u c z E u e 0 N v b H V t b j M s M n 0 m c X V v d D s s J n F 1 b 3 Q 7 U 2 V j d G l v b j E v V G F i b G U w M T c g K F B h Z 2 U g M T Y p L 0 F 1 d G 9 S Z W 1 v d m V k Q 2 9 s d W 1 u c z E u e 0 N v b H V t b j Q s M 3 0 m c X V v d D s s J n F 1 b 3 Q 7 U 2 V j d G l v b j E v V G F i b G U w M T c g K F B h Z 2 U g M T Y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T c g K F B h Z 2 U g M T Y p L 0 F 1 d G 9 S Z W 1 v d m V k Q 2 9 s d W 1 u c z E u e 0 N v b H V t b j E s M H 0 m c X V v d D s s J n F 1 b 3 Q 7 U 2 V j d G l v b j E v V G F i b G U w M T c g K F B h Z 2 U g M T Y p L 0 F 1 d G 9 S Z W 1 v d m V k Q 2 9 s d W 1 u c z E u e 0 N v b H V t b j I s M X 0 m c X V v d D s s J n F 1 b 3 Q 7 U 2 V j d G l v b j E v V G F i b G U w M T c g K F B h Z 2 U g M T Y p L 0 F 1 d G 9 S Z W 1 v d m V k Q 2 9 s d W 1 u c z E u e 0 N v b H V t b j M s M n 0 m c X V v d D s s J n F 1 b 3 Q 7 U 2 V j d G l v b j E v V G F i b G U w M T c g K F B h Z 2 U g M T Y p L 0 F 1 d G 9 S Z W 1 v d m V k Q 2 9 s d W 1 u c z E u e 0 N v b H V t b j Q s M 3 0 m c X V v d D s s J n F 1 b 3 Q 7 U 2 V j d G l v b j E v V G F i b G U w M T c g K F B h Z 2 U g M T Y p L 0 F 1 d G 9 S Z W 1 v d m V k Q 2 9 s d W 1 u c z E u e 0 N v b H V t b j U s N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x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N z o w O T o 0 O S 4 w N j k z O D I y W i I v P j x F b n R y e S B U e X B l P S J G a W x s Q 2 9 s d W 1 u V H l w Z X M i I F Z h b H V l P S J z Q m d Z R 0 F 3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O C A o U G F n Z S A x N i k v Q X V 0 b 1 J l b W 9 2 Z W R D b 2 x 1 b W 5 z M S 5 7 Q 2 9 s d W 1 u M S w w f S Z x d W 9 0 O y w m c X V v d D t T Z W N 0 a W 9 u M S 9 U Y W J s Z T A x O C A o U G F n Z S A x N i k v Q X V 0 b 1 J l b W 9 2 Z W R D b 2 x 1 b W 5 z M S 5 7 Q 2 9 s d W 1 u M i w x f S Z x d W 9 0 O y w m c X V v d D t T Z W N 0 a W 9 u M S 9 U Y W J s Z T A x O C A o U G F n Z S A x N i k v Q X V 0 b 1 J l b W 9 2 Z W R D b 2 x 1 b W 5 z M S 5 7 Q 2 9 s d W 1 u M y w y f S Z x d W 9 0 O y w m c X V v d D t T Z W N 0 a W 9 u M S 9 U Y W J s Z T A x O C A o U G F n Z S A x N i k v Q X V 0 b 1 J l b W 9 2 Z W R D b 2 x 1 b W 5 z M S 5 7 Q 2 9 s d W 1 u N C w z f S Z x d W 9 0 O y w m c X V v d D t T Z W N 0 a W 9 u M S 9 U Y W J s Z T A x O C A o U G F n Z S A x N i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x O C A o U G F n Z S A x N i k v Q X V 0 b 1 J l b W 9 2 Z W R D b 2 x 1 b W 5 z M S 5 7 Q 2 9 s d W 1 u M S w w f S Z x d W 9 0 O y w m c X V v d D t T Z W N 0 a W 9 u M S 9 U Y W J s Z T A x O C A o U G F n Z S A x N i k v Q X V 0 b 1 J l b W 9 2 Z W R D b 2 x 1 b W 5 z M S 5 7 Q 2 9 s d W 1 u M i w x f S Z x d W 9 0 O y w m c X V v d D t T Z W N 0 a W 9 u M S 9 U Y W J s Z T A x O C A o U G F n Z S A x N i k v Q X V 0 b 1 J l b W 9 2 Z W R D b 2 x 1 b W 5 z M S 5 7 Q 2 9 s d W 1 u M y w y f S Z x d W 9 0 O y w m c X V v d D t T Z W N 0 a W 9 u M S 9 U Y W J s Z T A x O C A o U G F n Z S A x N i k v Q X V 0 b 1 J l b W 9 2 Z W R D b 2 x 1 b W 5 z M S 5 7 Q 2 9 s d W 1 u N C w z f S Z x d W 9 0 O y w m c X V v d D t T Z W N 0 a W 9 u M S 9 U Y W J s Z T A x O C A o U G F n Z S A x N i k v Q X V 0 b 1 J l b W 9 2 Z W R D b 2 x 1 b W 5 z M S 5 7 Q 2 9 s d W 1 u N S w 0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2 K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3 O j A 5 O j Q 5 L j A 2 O T M 4 M j J a I i 8 + P E V u d H J 5 I F R 5 c G U 9 I k Z p b G x D b 2 x 1 b W 5 U e X B l c y I g V m F s d W U 9 I n N C Z 1 l H Q X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2 K S 9 B d X R v U m V t b 3 Z l Z E N v b H V t b n M x L n t D b 2 x 1 b W 4 x L D B 9 J n F 1 b 3 Q 7 L C Z x d W 9 0 O 1 N l Y 3 R p b 2 4 x L 1 R h Y m x l M D E 4 I C h Q Y W d l I D E 2 K S 9 B d X R v U m V t b 3 Z l Z E N v b H V t b n M x L n t D b 2 x 1 b W 4 y L D F 9 J n F 1 b 3 Q 7 L C Z x d W 9 0 O 1 N l Y 3 R p b 2 4 x L 1 R h Y m x l M D E 4 I C h Q Y W d l I D E 2 K S 9 B d X R v U m V t b 3 Z l Z E N v b H V t b n M x L n t D b 2 x 1 b W 4 z L D J 9 J n F 1 b 3 Q 7 L C Z x d W 9 0 O 1 N l Y 3 R p b 2 4 x L 1 R h Y m x l M D E 4 I C h Q Y W d l I D E 2 K S 9 B d X R v U m V t b 3 Z l Z E N v b H V t b n M x L n t D b 2 x 1 b W 4 0 L D N 9 J n F 1 b 3 Q 7 L C Z x d W 9 0 O 1 N l Y 3 R p b 2 4 x L 1 R h Y m x l M D E 4 I C h Q Y W d l I D E 2 K S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E 4 I C h Q Y W d l I D E 2 K S 9 B d X R v U m V t b 3 Z l Z E N v b H V t b n M x L n t D b 2 x 1 b W 4 x L D B 9 J n F 1 b 3 Q 7 L C Z x d W 9 0 O 1 N l Y 3 R p b 2 4 x L 1 R h Y m x l M D E 4 I C h Q Y W d l I D E 2 K S 9 B d X R v U m V t b 3 Z l Z E N v b H V t b n M x L n t D b 2 x 1 b W 4 y L D F 9 J n F 1 b 3 Q 7 L C Z x d W 9 0 O 1 N l Y 3 R p b 2 4 x L 1 R h Y m x l M D E 4 I C h Q Y W d l I D E 2 K S 9 B d X R v U m V t b 3 Z l Z E N v b H V t b n M x L n t D b 2 x 1 b W 4 z L D J 9 J n F 1 b 3 Q 7 L C Z x d W 9 0 O 1 N l Y 3 R p b 2 4 x L 1 R h Y m x l M D E 4 I C h Q Y W d l I D E 2 K S 9 B d X R v U m V t b 3 Z l Z E N v b H V t b n M x L n t D b 2 x 1 b W 4 0 L D N 9 J n F 1 b 3 Q 7 L C Z x d W 9 0 O 1 N l Y 3 R p b 2 4 x L 1 R h Y m x l M D E 4 I C h Q Y W d l I D E 2 K S 9 B d X R v U m V t b 3 Z l Z E N v b H V t b n M x L n t D b 2 x 1 b W 4 1 L D R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2 K S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c 6 M D k 6 N D k u M D Y 5 M z g y M l o i L z 4 8 R W 5 0 c n k g V H l w Z T 0 i R m l s b E N v b H V t b l R 5 c G V z I i B W Y W x 1 Z T 0 i c 0 J n W U d B d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T Y p L 0 F 1 d G 9 S Z W 1 v d m V k Q 2 9 s d W 1 u c z E u e 0 N v b H V t b j E s M H 0 m c X V v d D s s J n F 1 b 3 Q 7 U 2 V j d G l v b j E v V G F i b G U w M T g g K F B h Z 2 U g M T Y p L 0 F 1 d G 9 S Z W 1 v d m V k Q 2 9 s d W 1 u c z E u e 0 N v b H V t b j I s M X 0 m c X V v d D s s J n F 1 b 3 Q 7 U 2 V j d G l v b j E v V G F i b G U w M T g g K F B h Z 2 U g M T Y p L 0 F 1 d G 9 S Z W 1 v d m V k Q 2 9 s d W 1 u c z E u e 0 N v b H V t b j M s M n 0 m c X V v d D s s J n F 1 b 3 Q 7 U 2 V j d G l v b j E v V G F i b G U w M T g g K F B h Z 2 U g M T Y p L 0 F 1 d G 9 S Z W 1 v d m V k Q 2 9 s d W 1 u c z E u e 0 N v b H V t b j Q s M 3 0 m c X V v d D s s J n F 1 b 3 Q 7 U 2 V j d G l v b j E v V G F i b G U w M T g g K F B h Z 2 U g M T Y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T g g K F B h Z 2 U g M T Y p L 0 F 1 d G 9 S Z W 1 v d m V k Q 2 9 s d W 1 u c z E u e 0 N v b H V t b j E s M H 0 m c X V v d D s s J n F 1 b 3 Q 7 U 2 V j d G l v b j E v V G F i b G U w M T g g K F B h Z 2 U g M T Y p L 0 F 1 d G 9 S Z W 1 v d m V k Q 2 9 s d W 1 u c z E u e 0 N v b H V t b j I s M X 0 m c X V v d D s s J n F 1 b 3 Q 7 U 2 V j d G l v b j E v V G F i b G U w M T g g K F B h Z 2 U g M T Y p L 0 F 1 d G 9 S Z W 1 v d m V k Q 2 9 s d W 1 u c z E u e 0 N v b H V t b j M s M n 0 m c X V v d D s s J n F 1 b 3 Q 7 U 2 V j d G l v b j E v V G F i b G U w M T g g K F B h Z 2 U g M T Y p L 0 F 1 d G 9 S Z W 1 v d m V k Q 2 9 s d W 1 u c z E u e 0 N v b H V t b j Q s M 3 0 m c X V v d D s s J n F 1 b 3 Q 7 U 2 V j d G l v b j E v V G F i b G U w M T g g K F B h Z 2 U g M T Y p L 0 F 1 d G 9 S Z W 1 v d m V k Q 2 9 s d W 1 u c z E u e 0 N v b H V t b j U s N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Y p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N z o w O D o y M S 4 x M D U 3 M D I 2 W i I v P j x F b n R y e S B U e X B l P S J G a W x s Q 2 9 s d W 1 u V H l w Z X M i I F Z h b H V l P S J z Q m d Z R 0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i k v Q X V 0 b 1 J l b W 9 2 Z W R D b 2 x 1 b W 5 z M S 5 7 Q 2 9 s d W 1 u M S w w f S Z x d W 9 0 O y w m c X V v d D t T Z W N 0 a W 9 u M S 9 U Y W J s Z T A x N y A o U G F n Z S A x N i k v Q X V 0 b 1 J l b W 9 2 Z W R D b 2 x 1 b W 5 z M S 5 7 Q 2 9 s d W 1 u M i w x f S Z x d W 9 0 O y w m c X V v d D t T Z W N 0 a W 9 u M S 9 U Y W J s Z T A x N y A o U G F n Z S A x N i k v Q X V 0 b 1 J l b W 9 2 Z W R D b 2 x 1 b W 5 z M S 5 7 Q 2 9 s d W 1 u M y w y f S Z x d W 9 0 O y w m c X V v d D t T Z W N 0 a W 9 u M S 9 U Y W J s Z T A x N y A o U G F n Z S A x N i k v Q X V 0 b 1 J l b W 9 2 Z W R D b 2 x 1 b W 5 z M S 5 7 Q 2 9 s d W 1 u N C w z f S Z x d W 9 0 O y w m c X V v d D t T Z W N 0 a W 9 u M S 9 U Y W J s Z T A x N y A o U G F n Z S A x N i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x N y A o U G F n Z S A x N i k v Q X V 0 b 1 J l b W 9 2 Z W R D b 2 x 1 b W 5 z M S 5 7 Q 2 9 s d W 1 u M S w w f S Z x d W 9 0 O y w m c X V v d D t T Z W N 0 a W 9 u M S 9 U Y W J s Z T A x N y A o U G F n Z S A x N i k v Q X V 0 b 1 J l b W 9 2 Z W R D b 2 x 1 b W 5 z M S 5 7 Q 2 9 s d W 1 u M i w x f S Z x d W 9 0 O y w m c X V v d D t T Z W N 0 a W 9 u M S 9 U Y W J s Z T A x N y A o U G F n Z S A x N i k v Q X V 0 b 1 J l b W 9 2 Z W R D b 2 x 1 b W 5 z M S 5 7 Q 2 9 s d W 1 u M y w y f S Z x d W 9 0 O y w m c X V v d D t T Z W N 0 a W 9 u M S 9 U Y W J s Z T A x N y A o U G F n Z S A x N i k v Q X V 0 b 1 J l b W 9 2 Z W R D b 2 x 1 b W 5 z M S 5 7 Q 2 9 s d W 1 u N C w z f S Z x d W 9 0 O y w m c X V v d D t T Z W N 0 a W 9 u M S 9 U Y W J s Z T A x N y A o U G F n Z S A x N i k v Q X V 0 b 1 J l b W 9 2 Z W R D b 2 x 1 b W 5 z M S 5 7 Q 2 9 s d W 1 u N S w 0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x N S 0 x N i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N z o x N j o w M y 4 1 O T A 1 O T c w W i I v P j x F b n R y e S B U e X B l P S J G a W x s Q 2 9 s d W 1 u V H l w Z X M i I F Z h b H V l P S J z Q X d Z R 0 J n P T 0 i L z 4 8 R W 5 0 c n k g V H l w Z T 0 i R m l s b E N v b H V t b k 5 h b W V z I i B W Y W x 1 Z T 0 i c 1 s m c X V v d D t D w 7 N k a W d v I G R h X G 5 D b 2 5 0 Y S Z x d W 9 0 O y w m c X V v d D t E Z X N j c m n D p 8 O j b y B k Y S B D b 2 5 0 Y S Z x d W 9 0 O y w m c X V v d D t B Y 3 V t d W x h Z G 8 g Z G 8 g Q X R 1 Y W x c b k V 4 Z X J j w 6 1 j a W 8 m c X V v d D s s J n F 1 b 3 Q 7 Q W N 1 b X V s Y W R v I G R v I E V 4 Z X J j w 6 1 j a W 9 c b k F u d G V y a W 9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T U t M T Y p I C g y K S 9 B d X R v U m V t b 3 Z l Z E N v b H V t b n M x L n t D w 7 N k a W d v I G R h X G 5 D b 2 5 0 Y S w w f S Z x d W 9 0 O y w m c X V v d D t T Z W N 0 a W 9 u M S 9 U Y W J s Z T A y M S A o U G F n Z S A x N S 0 x N i k g K D I p L 0 F 1 d G 9 S Z W 1 v d m V k Q 2 9 s d W 1 u c z E u e 0 R l c 2 N y a c O n w 6 N v I G R h I E N v b n R h L D F 9 J n F 1 b 3 Q 7 L C Z x d W 9 0 O 1 N l Y 3 R p b 2 4 x L 1 R h Y m x l M D I x I C h Q Y W d l I D E 1 L T E 2 K S A o M i k v Q X V 0 b 1 J l b W 9 2 Z W R D b 2 x 1 b W 5 z M S 5 7 Q W N 1 b X V s Y W R v I G R v I E F 0 d W F s X G 5 F e G V y Y 8 O t Y 2 l v L D J 9 J n F 1 b 3 Q 7 L C Z x d W 9 0 O 1 N l Y 3 R p b 2 4 x L 1 R h Y m x l M D I x I C h Q Y W d l I D E 1 L T E 2 K S A o M i k v Q X V 0 b 1 J l b W 9 2 Z W R D b 2 x 1 b W 5 z M S 5 7 Q W N 1 b X V s Y W R v I G R v I E V 4 Z X J j w 6 1 j a W 9 c b k F u d G V y a W 9 y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I x I C h Q Y W d l I D E 1 L T E 2 K S A o M i k v Q X V 0 b 1 J l b W 9 2 Z W R D b 2 x 1 b W 5 z M S 5 7 Q 8 O z Z G l n b y B k Y V x u Q 2 9 u d G E s M H 0 m c X V v d D s s J n F 1 b 3 Q 7 U 2 V j d G l v b j E v V G F i b G U w M j E g K F B h Z 2 U g M T U t M T Y p I C g y K S 9 B d X R v U m V t b 3 Z l Z E N v b H V t b n M x L n t E Z X N j c m n D p 8 O j b y B k Y S B D b 2 5 0 Y S w x f S Z x d W 9 0 O y w m c X V v d D t T Z W N 0 a W 9 u M S 9 U Y W J s Z T A y M S A o U G F n Z S A x N S 0 x N i k g K D I p L 0 F 1 d G 9 S Z W 1 v d m V k Q 2 9 s d W 1 u c z E u e 0 F j d W 1 1 b G F k b y B k b y B B d H V h b F x u R X h l c m P D r W N p b y w y f S Z x d W 9 0 O y w m c X V v d D t T Z W N 0 a W 9 u M S 9 U Y W J s Z T A y M S A o U G F n Z S A x N S 0 x N i k g K D I p L 0 F 1 d G 9 S Z W 1 v d m V k Q 2 9 s d W 1 u c z E u e 0 F j d W 1 1 b G F k b y B k b y B F e G V y Y 8 O t Y 2 l v X G 5 B b n R l c m l v c i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E 1 L T E 2 K S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c 6 M T Y 6 M D M u N T k w N T k 3 M F o i L z 4 8 R W 5 0 c n k g V H l w Z T 0 i R m l s b E N v b H V t b l R 5 c G V z I i B W Y W x 1 Z T 0 i c 0 F 3 W U d C Z z 0 9 I i 8 + P E V u d H J 5 I F R 5 c G U 9 I k Z p b G x D b 2 x 1 b W 5 O Y W 1 l c y I g V m F s d W U 9 I n N b J n F 1 b 3 Q 7 Q 8 O z Z G l n b y B k Y V x u Q 2 9 u d G E m c X V v d D s s J n F 1 b 3 Q 7 R G V z Y 3 J p w 6 f D o 2 8 g Z G E g Q 2 9 u d G E m c X V v d D s s J n F 1 b 3 Q 7 Q W N 1 b X V s Y W R v I G R v I E F 0 d W F s X G 5 F e G V y Y 8 O t Y 2 l v J n F 1 b 3 Q 7 L C Z x d W 9 0 O 0 F j d W 1 1 b G F k b y B k b y B F e G V y Y 8 O t Y 2 l v X G 5 B b n R l c m l v c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1 L T E 2 K S A o M i k v Q X V 0 b 1 J l b W 9 2 Z W R D b 2 x 1 b W 5 z M S 5 7 Q 8 O z Z G l n b y B k Y V x u Q 2 9 u d G E s M H 0 m c X V v d D s s J n F 1 b 3 Q 7 U 2 V j d G l v b j E v V G F i b G U w M j E g K F B h Z 2 U g M T U t M T Y p I C g y K S 9 B d X R v U m V t b 3 Z l Z E N v b H V t b n M x L n t E Z X N j c m n D p 8 O j b y B k Y S B D b 2 5 0 Y S w x f S Z x d W 9 0 O y w m c X V v d D t T Z W N 0 a W 9 u M S 9 U Y W J s Z T A y M S A o U G F n Z S A x N S 0 x N i k g K D I p L 0 F 1 d G 9 S Z W 1 v d m V k Q 2 9 s d W 1 u c z E u e 0 F j d W 1 1 b G F k b y B k b y B B d H V h b F x u R X h l c m P D r W N p b y w y f S Z x d W 9 0 O y w m c X V v d D t T Z W N 0 a W 9 u M S 9 U Y W J s Z T A y M S A o U G F n Z S A x N S 0 x N i k g K D I p L 0 F 1 d G 9 S Z W 1 v d m V k Q 2 9 s d W 1 u c z E u e 0 F j d W 1 1 b G F k b y B k b y B F e G V y Y 8 O t Y 2 l v X G 5 B b n R l c m l v c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y M S A o U G F n Z S A x N S 0 x N i k g K D I p L 0 F 1 d G 9 S Z W 1 v d m V k Q 2 9 s d W 1 u c z E u e 0 P D s 2 R p Z 2 8 g Z G F c b k N v b n R h L D B 9 J n F 1 b 3 Q 7 L C Z x d W 9 0 O 1 N l Y 3 R p b 2 4 x L 1 R h Y m x l M D I x I C h Q Y W d l I D E 1 L T E 2 K S A o M i k v Q X V 0 b 1 J l b W 9 2 Z W R D b 2 x 1 b W 5 z M S 5 7 R G V z Y 3 J p w 6 f D o 2 8 g Z G E g Q 2 9 u d G E s M X 0 m c X V v d D s s J n F 1 b 3 Q 7 U 2 V j d G l v b j E v V G F i b G U w M j E g K F B h Z 2 U g M T U t M T Y p I C g y K S 9 B d X R v U m V t b 3 Z l Z E N v b H V t b n M x L n t B Y 3 V t d W x h Z G 8 g Z G 8 g Q X R 1 Y W x c b k V 4 Z X J j w 6 1 j a W 8 s M n 0 m c X V v d D s s J n F 1 b 3 Q 7 U 2 V j d G l v b j E v V G F i b G U w M j E g K F B h Z 2 U g M T U t M T Y p I C g y K S 9 B d X R v U m V t b 3 Z l Z E N v b H V t b n M x L n t B Y 3 V t d W x h Z G 8 g Z G 8 g R X h l c m P D r W N p b 1 x u Q W 5 0 Z X J p b 3 I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U t M T Y p J T I w K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3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c 6 M j Q 6 N D Q u M D E x M T c 5 M l o i L z 4 8 R W 5 0 c n k g V H l w Z T 0 i R m l s b E N v b H V t b l R 5 c G V z I i B W Y W x 1 Z T 0 i c 0 F 3 W U d C Z z 0 9 I i 8 + P E V u d H J 5 I F R 5 c G U 9 I k Z p b G x D b 2 x 1 b W 5 O Y W 1 l c y I g V m F s d W U 9 I n N b J n F 1 b 3 Q 7 Q 8 O z Z G l n b y B k Y V x u Q 2 9 u d G E m c X V v d D s s J n F 1 b 3 Q 7 R G V z Y 3 J p w 6 f D o 2 8 g Z G E g Q 2 9 u d G E m c X V v d D s s J n F 1 b 3 Q 7 Q W N 1 b X V s Y W R v I G R v I E F 0 d W F s X G 5 F e G V y Y 8 O t Y 2 l v J n F 1 b 3 Q 7 L C Z x d W 9 0 O 0 F j d W 1 1 b G F k b y B k b y B F e G V y Y 8 O t Y 2 l v X G 5 B b n R l c m l v c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1 L T E 2 K S A o N C k v Q X V 0 b 1 J l b W 9 2 Z W R D b 2 x 1 b W 5 z M S 5 7 Q 8 O z Z G l n b y B k Y V x u Q 2 9 u d G E s M H 0 m c X V v d D s s J n F 1 b 3 Q 7 U 2 V j d G l v b j E v V G F i b G U w M j E g K F B h Z 2 U g M T U t M T Y p I C g 0 K S 9 B d X R v U m V t b 3 Z l Z E N v b H V t b n M x L n t E Z X N j c m n D p 8 O j b y B k Y S B D b 2 5 0 Y S w x f S Z x d W 9 0 O y w m c X V v d D t T Z W N 0 a W 9 u M S 9 U Y W J s Z T A y M S A o U G F n Z S A x N S 0 x N i k g K D Q p L 0 F 1 d G 9 S Z W 1 v d m V k Q 2 9 s d W 1 u c z E u e 0 F j d W 1 1 b G F k b y B k b y B B d H V h b F x u R X h l c m P D r W N p b y w y f S Z x d W 9 0 O y w m c X V v d D t T Z W N 0 a W 9 u M S 9 U Y W J s Z T A y M S A o U G F n Z S A x N S 0 x N i k g K D Q p L 0 F 1 d G 9 S Z W 1 v d m V k Q 2 9 s d W 1 u c z E u e 0 F j d W 1 1 b G F k b y B k b y B F e G V y Y 8 O t Y 2 l v X G 5 B b n R l c m l v c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y M S A o U G F n Z S A x N S 0 x N i k g K D Q p L 0 F 1 d G 9 S Z W 1 v d m V k Q 2 9 s d W 1 u c z E u e 0 P D s 2 R p Z 2 8 g Z G F c b k N v b n R h L D B 9 J n F 1 b 3 Q 7 L C Z x d W 9 0 O 1 N l Y 3 R p b 2 4 x L 1 R h Y m x l M D I x I C h Q Y W d l I D E 1 L T E 2 K S A o N C k v Q X V 0 b 1 J l b W 9 2 Z W R D b 2 x 1 b W 5 z M S 5 7 R G V z Y 3 J p w 6 f D o 2 8 g Z G E g Q 2 9 u d G E s M X 0 m c X V v d D s s J n F 1 b 3 Q 7 U 2 V j d G l v b j E v V G F i b G U w M j E g K F B h Z 2 U g M T U t M T Y p I C g 0 K S 9 B d X R v U m V t b 3 Z l Z E N v b H V t b n M x L n t B Y 3 V t d W x h Z G 8 g Z G 8 g Q X R 1 Y W x c b k V 4 Z X J j w 6 1 j a W 8 s M n 0 m c X V v d D s s J n F 1 b 3 Q 7 U 2 V j d G l v b j E v V G F i b G U w M j E g K F B h Z 2 U g M T U t M T Y p I C g 0 K S 9 B d X R v U m V t b 3 Z l Z E N v b H V t b n M x L n t B Y 3 V t d W x h Z G 8 g Z G 8 g R X h l c m P D r W N p b 1 x u Q W 5 0 Z X J p b 3 I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x N S 0 x N i k l M j A o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3 O j I 0 O j Q 0 L j A x M T E 3 O T J a I i 8 + P E V u d H J 5 I F R 5 c G U 9 I k Z p b G x D b 2 x 1 b W 5 U e X B l c y I g V m F s d W U 9 I n N B d 1 l H Q m c 9 P S I v P j x F b n R y e S B U e X B l P S J G a W x s Q 2 9 s d W 1 u T m F t Z X M i I F Z h b H V l P S J z W y Z x d W 9 0 O 0 P D s 2 R p Z 2 8 g Z G F c b k N v b n R h J n F 1 b 3 Q 7 L C Z x d W 9 0 O 0 R l c 2 N y a c O n w 6 N v I G R h I E N v b n R h J n F 1 b 3 Q 7 L C Z x d W 9 0 O 0 F j d W 1 1 b G F k b y B k b y B B d H V h b F x u R X h l c m P D r W N p b y Z x d W 9 0 O y w m c X V v d D t B Y 3 V t d W x h Z G 8 g Z G 8 g R X h l c m P D r W N p b 1 x u Q W 5 0 Z X J p b 3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S A o U G F n Z S A x N S 0 x N i k g K D Q p L 0 F 1 d G 9 S Z W 1 v d m V k Q 2 9 s d W 1 u c z E u e 0 P D s 2 R p Z 2 8 g Z G F c b k N v b n R h L D B 9 J n F 1 b 3 Q 7 L C Z x d W 9 0 O 1 N l Y 3 R p b 2 4 x L 1 R h Y m x l M D I x I C h Q Y W d l I D E 1 L T E 2 K S A o N C k v Q X V 0 b 1 J l b W 9 2 Z W R D b 2 x 1 b W 5 z M S 5 7 R G V z Y 3 J p w 6 f D o 2 8 g Z G E g Q 2 9 u d G E s M X 0 m c X V v d D s s J n F 1 b 3 Q 7 U 2 V j d G l v b j E v V G F i b G U w M j E g K F B h Z 2 U g M T U t M T Y p I C g 0 K S 9 B d X R v U m V t b 3 Z l Z E N v b H V t b n M x L n t B Y 3 V t d W x h Z G 8 g Z G 8 g Q X R 1 Y W x c b k V 4 Z X J j w 6 1 j a W 8 s M n 0 m c X V v d D s s J n F 1 b 3 Q 7 U 2 V j d G l v b j E v V G F i b G U w M j E g K F B h Z 2 U g M T U t M T Y p I C g 0 K S 9 B d X R v U m V t b 3 Z l Z E N v b H V t b n M x L n t B Y 3 V t d W x h Z G 8 g Z G 8 g R X h l c m P D r W N p b 1 x u Q W 5 0 Z X J p b 3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j E g K F B h Z 2 U g M T U t M T Y p I C g 0 K S 9 B d X R v U m V t b 3 Z l Z E N v b H V t b n M x L n t D w 7 N k a W d v I G R h X G 5 D b 2 5 0 Y S w w f S Z x d W 9 0 O y w m c X V v d D t T Z W N 0 a W 9 u M S 9 U Y W J s Z T A y M S A o U G F n Z S A x N S 0 x N i k g K D Q p L 0 F 1 d G 9 S Z W 1 v d m V k Q 2 9 s d W 1 u c z E u e 0 R l c 2 N y a c O n w 6 N v I G R h I E N v b n R h L D F 9 J n F 1 b 3 Q 7 L C Z x d W 9 0 O 1 N l Y 3 R p b 2 4 x L 1 R h Y m x l M D I x I C h Q Y W d l I D E 1 L T E 2 K S A o N C k v Q X V 0 b 1 J l b W 9 2 Z W R D b 2 x 1 b W 5 z M S 5 7 Q W N 1 b X V s Y W R v I G R v I E F 0 d W F s X G 5 F e G V y Y 8 O t Y 2 l v L D J 9 J n F 1 b 3 Q 7 L C Z x d W 9 0 O 1 N l Y 3 R p b 2 4 x L 1 R h Y m x l M D I x I C h Q Y W d l I D E 1 L T E 2 K S A o N C k v Q X V 0 b 1 J l b W 9 2 Z W R D b 2 x 1 b W 5 z M S 5 7 Q W N 1 b X V s Y W R v I G R v I E V 4 Z X J j w 6 1 j a W 9 c b k F u d G V y a W 9 y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3 O j M x O j M 4 L j M z N D Q y O T N a I i 8 + P E V u d H J 5 I F R 5 c G U 9 I k Z p b G x D b 2 x 1 b W 5 U e X B l c y I g V m F s d W U 9 I n N B d 1 l E Q X c 9 P S I v P j x F b n R y e S B U e X B l P S J G a W x s Q 2 9 s d W 1 u T m F t Z X M i I F Z h b H V l P S J z W y Z x d W 9 0 O 0 P D s 2 R p Z 2 8 g Z G F c b k N v b n R h J n F 1 b 3 Q 7 L C Z x d W 9 0 O 0 R l c 2 N y a c O n w 6 N v I G R h I E N v b n R h J n F 1 b 3 Q 7 L C Z x d W 9 0 O 1 R y a W 1 l c 3 R y Z S B B d H V h b F x u M z A v M D Y v M j A y M y Z x d W 9 0 O y w m c X V v d D t F e G V y Y 8 O t Y 2 l v I E F u d G V y a W 9 y X G 4 z M S 8 x M i 8 y M D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E p L 0 F 1 d G 9 S Z W 1 v d m V k Q 2 9 s d W 1 u c z E u e 0 P D s 2 R p Z 2 8 g Z G F c b k N v b n R h L D B 9 J n F 1 b 3 Q 7 L C Z x d W 9 0 O 1 N l Y 3 R p b 2 4 x L 1 R h Y m x l M D E 3 I C h Q Y W d l I D E x K S 9 B d X R v U m V t b 3 Z l Z E N v b H V t b n M x L n t E Z X N j c m n D p 8 O j b y B k Y S B D b 2 5 0 Y S w x f S Z x d W 9 0 O y w m c X V v d D t T Z W N 0 a W 9 u M S 9 U Y W J s Z T A x N y A o U G F n Z S A x M S k v Q X V 0 b 1 J l b W 9 2 Z W R D b 2 x 1 b W 5 z M S 5 7 V H J p b W V z d H J l I E F 0 d W F s X G 4 z M C 8 w N i 8 y M D I z L D J 9 J n F 1 b 3 Q 7 L C Z x d W 9 0 O 1 N l Y 3 R p b 2 4 x L 1 R h Y m x l M D E 3 I C h Q Y W d l I D E x K S 9 B d X R v U m V t b 3 Z l Z E N v b H V t b n M x L n t F e G V y Y 8 O t Y 2 l v I E F u d G V y a W 9 y X G 4 z M S 8 x M i 8 y M D I y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E 3 I C h Q Y W d l I D E x K S 9 B d X R v U m V t b 3 Z l Z E N v b H V t b n M x L n t D w 7 N k a W d v I G R h X G 5 D b 2 5 0 Y S w w f S Z x d W 9 0 O y w m c X V v d D t T Z W N 0 a W 9 u M S 9 U Y W J s Z T A x N y A o U G F n Z S A x M S k v Q X V 0 b 1 J l b W 9 2 Z W R D b 2 x 1 b W 5 z M S 5 7 R G V z Y 3 J p w 6 f D o 2 8 g Z G E g Q 2 9 u d G E s M X 0 m c X V v d D s s J n F 1 b 3 Q 7 U 2 V j d G l v b j E v V G F i b G U w M T c g K F B h Z 2 U g M T E p L 0 F 1 d G 9 S Z W 1 v d m V k Q 2 9 s d W 1 u c z E u e 1 R y a W 1 l c 3 R y Z S B B d H V h b F x u M z A v M D Y v M j A y M y w y f S Z x d W 9 0 O y w m c X V v d D t T Z W N 0 a W 9 u M S 9 U Y W J s Z T A x N y A o U G F n Z S A x M S k v Q X V 0 b 1 J l b W 9 2 Z W R D b 2 x 1 b W 5 z M S 5 7 R X h l c m P D r W N p b y B B b n R l c m l v c l x u M z E v M T I v M j A y M i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3 O j M y O j E y L j Y 5 M j U 0 M z N a I i 8 + P E V u d H J 5 I F R 5 c G U 9 I k Z p b G x D b 2 x 1 b W 5 U e X B l c y I g V m F s d W U 9 I n N B d 1 l E Q X c 9 P S I v P j x F b n R y e S B U e X B l P S J G a W x s Q 2 9 s d W 1 u T m F t Z X M i I F Z h b H V l P S J z W y Z x d W 9 0 O 0 P D s 2 R p Z 2 8 g Z G F c b k N v b n R h J n F 1 b 3 Q 7 L C Z x d W 9 0 O 0 R l c 2 N y a c O n w 6 N v I G R h I E N v b n R h J n F 1 b 3 Q 7 L C Z x d W 9 0 O 1 R y a W 1 l c 3 R y Z S B B d H V h b F x u M z A v M D Y v M j A y M y Z x d W 9 0 O y w m c X V v d D t F e G V y Y 8 O t Y 2 l v I E F u d G V y a W 9 y X G 4 z M S 8 x M i 8 y M D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T I p L 0 F 1 d G 9 S Z W 1 v d m V k Q 2 9 s d W 1 u c z E u e 0 P D s 2 R p Z 2 8 g Z G F c b k N v b n R h L D B 9 J n F 1 b 3 Q 7 L C Z x d W 9 0 O 1 N l Y 3 R p b 2 4 x L 1 R h Y m x l M D E 4 I C h Q Y W d l I D E y K S 9 B d X R v U m V t b 3 Z l Z E N v b H V t b n M x L n t E Z X N j c m n D p 8 O j b y B k Y S B D b 2 5 0 Y S w x f S Z x d W 9 0 O y w m c X V v d D t T Z W N 0 a W 9 u M S 9 U Y W J s Z T A x O C A o U G F n Z S A x M i k v Q X V 0 b 1 J l b W 9 2 Z W R D b 2 x 1 b W 5 z M S 5 7 V H J p b W V z d H J l I E F 0 d W F s X G 4 z M C 8 w N i 8 y M D I z L D J 9 J n F 1 b 3 Q 7 L C Z x d W 9 0 O 1 N l Y 3 R p b 2 4 x L 1 R h Y m x l M D E 4 I C h Q Y W d l I D E y K S 9 B d X R v U m V t b 3 Z l Z E N v b H V t b n M x L n t F e G V y Y 8 O t Y 2 l v I E F u d G V y a W 9 y X G 4 z M S 8 x M i 8 y M D I y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E 4 I C h Q Y W d l I D E y K S 9 B d X R v U m V t b 3 Z l Z E N v b H V t b n M x L n t D w 7 N k a W d v I G R h X G 5 D b 2 5 0 Y S w w f S Z x d W 9 0 O y w m c X V v d D t T Z W N 0 a W 9 u M S 9 U Y W J s Z T A x O C A o U G F n Z S A x M i k v Q X V 0 b 1 J l b W 9 2 Z W R D b 2 x 1 b W 5 z M S 5 7 R G V z Y 3 J p w 6 f D o 2 8 g Z G E g Q 2 9 u d G E s M X 0 m c X V v d D s s J n F 1 b 3 Q 7 U 2 V j d G l v b j E v V G F i b G U w M T g g K F B h Z 2 U g M T I p L 0 F 1 d G 9 S Z W 1 v d m V k Q 2 9 s d W 1 u c z E u e 1 R y a W 1 l c 3 R y Z S B B d H V h b F x u M z A v M D Y v M j A y M y w y f S Z x d W 9 0 O y w m c X V v d D t T Z W N 0 a W 9 u M S 9 U Y W J s Z T A x O C A o U G F n Z S A x M i k v Q X V 0 b 1 J l b W 9 2 Z W R D b 2 x 1 b W 5 z M S 5 7 R X h l c m P D r W N p b y B B b n R l c m l v c l x u M z E v M T I v M j A y M i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x K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3 O j M 4 O j I 3 L j I 3 M D U 2 N D h a I i 8 + P E V u d H J 5 I F R 5 c G U 9 I k Z p b G x D b 2 x 1 b W 5 U e X B l c y I g V m F s d W U 9 I n N B d 1 l E Q X c 9 P S I v P j x F b n R y e S B U e X B l P S J G a W x s Q 2 9 s d W 1 u T m F t Z X M i I F Z h b H V l P S J z W y Z x d W 9 0 O 0 P D s 2 R p Z 2 8 g Z G F c b k N v b n R h J n F 1 b 3 Q 7 L C Z x d W 9 0 O 0 R l c 2 N y a c O n w 6 N v I G R h I E N v b n R h J n F 1 b 3 Q 7 L C Z x d W 9 0 O 1 R y a W 1 l c 3 R y Z S B B d H V h b F x u M z A v M D k v M j A y M i Z x d W 9 0 O y w m c X V v d D t F e G V y Y 8 O t Y 2 l v I E F u d G V y a W 9 y X G 4 z M S 8 x M i 8 y M D I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E p I C g y K S 9 B d X R v U m V t b 3 Z l Z E N v b H V t b n M x L n t D w 7 N k a W d v I G R h X G 5 D b 2 5 0 Y S w w f S Z x d W 9 0 O y w m c X V v d D t T Z W N 0 a W 9 u M S 9 U Y W J s Z T A x N y A o U G F n Z S A x M S k g K D I p L 0 F 1 d G 9 S Z W 1 v d m V k Q 2 9 s d W 1 u c z E u e 0 R l c 2 N y a c O n w 6 N v I G R h I E N v b n R h L D F 9 J n F 1 b 3 Q 7 L C Z x d W 9 0 O 1 N l Y 3 R p b 2 4 x L 1 R h Y m x l M D E 3 I C h Q Y W d l I D E x K S A o M i k v Q X V 0 b 1 J l b W 9 2 Z W R D b 2 x 1 b W 5 z M S 5 7 V H J p b W V z d H J l I E F 0 d W F s X G 4 z M C 8 w O S 8 y M D I y L D J 9 J n F 1 b 3 Q 7 L C Z x d W 9 0 O 1 N l Y 3 R p b 2 4 x L 1 R h Y m x l M D E 3 I C h Q Y W d l I D E x K S A o M i k v Q X V 0 b 1 J l b W 9 2 Z W R D b 2 x 1 b W 5 z M S 5 7 R X h l c m P D r W N p b y B B b n R l c m l v c l x u M z E v M T I v M j A y M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x N y A o U G F n Z S A x M S k g K D I p L 0 F 1 d G 9 S Z W 1 v d m V k Q 2 9 s d W 1 u c z E u e 0 P D s 2 R p Z 2 8 g Z G F c b k N v b n R h L D B 9 J n F 1 b 3 Q 7 L C Z x d W 9 0 O 1 N l Y 3 R p b 2 4 x L 1 R h Y m x l M D E 3 I C h Q Y W d l I D E x K S A o M i k v Q X V 0 b 1 J l b W 9 2 Z W R D b 2 x 1 b W 5 z M S 5 7 R G V z Y 3 J p w 6 f D o 2 8 g Z G E g Q 2 9 u d G E s M X 0 m c X V v d D s s J n F 1 b 3 Q 7 U 2 V j d G l v b j E v V G F i b G U w M T c g K F B h Z 2 U g M T E p I C g y K S 9 B d X R v U m V t b 3 Z l Z E N v b H V t b n M x L n t U c m l t Z X N 0 c m U g Q X R 1 Y W x c b j M w L z A 5 L z I w M j I s M n 0 m c X V v d D s s J n F 1 b 3 Q 7 U 2 V j d G l v b j E v V G F i b G U w M T c g K F B h Z 2 U g M T E p I C g y K S 9 B d X R v U m V t b 3 Z l Z E N v b H V t b n M x L n t F e G V y Y 8 O t Y 2 l v I E F u d G V y a W 9 y X G 4 z M S 8 x M i 8 y M D I x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I p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c 6 M z g 6 M z g u N T c 0 M D M z N l o i L z 4 8 R W 5 0 c n k g V H l w Z T 0 i R m l s b E N v b H V t b l R 5 c G V z I i B W Y W x 1 Z T 0 i c 0 F 3 W U R B d z 0 9 I i 8 + P E V u d H J 5 I F R 5 c G U 9 I k Z p b G x D b 2 x 1 b W 5 O Y W 1 l c y I g V m F s d W U 9 I n N b J n F 1 b 3 Q 7 Q 8 O z Z G l n b y B k Y V x u Q 2 9 u d G E m c X V v d D s s J n F 1 b 3 Q 7 R G V z Y 3 J p w 6 f D o 2 8 g Z G E g Q 2 9 u d G E m c X V v d D s s J n F 1 b 3 Q 7 V H J p b W V z d H J l I E F 0 d W F s X G 4 z M C 8 w O S 8 y M D I y J n F 1 b 3 Q 7 L C Z x d W 9 0 O 0 V 4 Z X J j w 6 1 j a W 8 g Q W 5 0 Z X J p b 3 J c b j M x L z E y L z I w M j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O C A o U G F n Z S A x M i k g K D I p L 0 F 1 d G 9 S Z W 1 v d m V k Q 2 9 s d W 1 u c z E u e 0 P D s 2 R p Z 2 8 g Z G F c b k N v b n R h L D B 9 J n F 1 b 3 Q 7 L C Z x d W 9 0 O 1 N l Y 3 R p b 2 4 x L 1 R h Y m x l M D E 4 I C h Q Y W d l I D E y K S A o M i k v Q X V 0 b 1 J l b W 9 2 Z W R D b 2 x 1 b W 5 z M S 5 7 R G V z Y 3 J p w 6 f D o 2 8 g Z G E g Q 2 9 u d G E s M X 0 m c X V v d D s s J n F 1 b 3 Q 7 U 2 V j d G l v b j E v V G F i b G U w M T g g K F B h Z 2 U g M T I p I C g y K S 9 B d X R v U m V t b 3 Z l Z E N v b H V t b n M x L n t U c m l t Z X N 0 c m U g Q X R 1 Y W x c b j M w L z A 5 L z I w M j I s M n 0 m c X V v d D s s J n F 1 b 3 Q 7 U 2 V j d G l v b j E v V G F i b G U w M T g g K F B h Z 2 U g M T I p I C g y K S 9 B d X R v U m V t b 3 Z l Z E N v b H V t b n M x L n t F e G V y Y 8 O t Y 2 l v I E F u d G V y a W 9 y X G 4 z M S 8 x M i 8 y M D I x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E 4 I C h Q Y W d l I D E y K S A o M i k v Q X V 0 b 1 J l b W 9 2 Z W R D b 2 x 1 b W 5 z M S 5 7 Q 8 O z Z G l n b y B k Y V x u Q 2 9 u d G E s M H 0 m c X V v d D s s J n F 1 b 3 Q 7 U 2 V j d G l v b j E v V G F i b G U w M T g g K F B h Z 2 U g M T I p I C g y K S 9 B d X R v U m V t b 3 Z l Z E N v b H V t b n M x L n t E Z X N j c m n D p 8 O j b y B k Y S B D b 2 5 0 Y S w x f S Z x d W 9 0 O y w m c X V v d D t T Z W N 0 a W 9 u M S 9 U Y W J s Z T A x O C A o U G F n Z S A x M i k g K D I p L 0 F 1 d G 9 S Z W 1 v d m V k Q 2 9 s d W 1 u c z E u e 1 R y a W 1 l c 3 R y Z S B B d H V h b F x u M z A v M D k v M j A y M i w y f S Z x d W 9 0 O y w m c X V v d D t T Z W N 0 a W 9 u M S 9 U Y W J s Z T A x O C A o U G F n Z S A x M i k g K D I p L 0 F 1 d G 9 S Z W 1 v d m V k Q 2 9 s d W 1 u c z E u e 0 V 4 Z X J j w 6 1 j a W 8 g Q W 5 0 Z X J p b 3 J c b j M x L z E y L z I w M j E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1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3 O j Q 0 O j A 5 L j Y y M T E 5 M z d a I i 8 + P E V u d H J 5 I F R 5 c G U 9 I k Z p b G x D b 2 x 1 b W 5 U e X B l c y I g V m F s d W U 9 I n N C Z 1 l H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U g K F B h Z 2 U g O S k v Q X V 0 b 1 J l b W 9 2 Z W R D b 2 x 1 b W 5 z M S 5 7 Q 2 9 s d W 1 u M S w w f S Z x d W 9 0 O y w m c X V v d D t T Z W N 0 a W 9 u M S 9 U Y W J s Z T A w N S A o U G F n Z S A 5 K S 9 B d X R v U m V t b 3 Z l Z E N v b H V t b n M x L n t D b 2 x 1 b W 4 y L D F 9 J n F 1 b 3 Q 7 L C Z x d W 9 0 O 1 N l Y 3 R p b 2 4 x L 1 R h Y m x l M D A 1 I C h Q Y W d l I D k p L 0 F 1 d G 9 S Z W 1 v d m V k Q 2 9 s d W 1 u c z E u e 0 N v b H V t b j M s M n 0 m c X V v d D s s J n F 1 b 3 Q 7 U 2 V j d G l v b j E v V G F i b G U w M D U g K F B h Z 2 U g O S k v Q X V 0 b 1 J l b W 9 2 Z W R D b 2 x 1 b W 5 z M S 5 7 Q 2 9 s d W 1 u N C w z f S Z x d W 9 0 O y w m c X V v d D t T Z W N 0 a W 9 u M S 9 U Y W J s Z T A w N S A o U G F n Z S A 5 K S 9 B d X R v U m V t b 3 Z l Z E N v b H V t b n M x L n t D b 2 x 1 b W 4 1 L D R 9 J n F 1 b 3 Q 7 L C Z x d W 9 0 O 1 N l Y 3 R p b 2 4 x L 1 R h Y m x l M D A 1 I C h Q Y W d l I D k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U g K F B h Z 2 U g O S k v Q X V 0 b 1 J l b W 9 2 Z W R D b 2 x 1 b W 5 z M S 5 7 Q 2 9 s d W 1 u M S w w f S Z x d W 9 0 O y w m c X V v d D t T Z W N 0 a W 9 u M S 9 U Y W J s Z T A w N S A o U G F n Z S A 5 K S 9 B d X R v U m V t b 3 Z l Z E N v b H V t b n M x L n t D b 2 x 1 b W 4 y L D F 9 J n F 1 b 3 Q 7 L C Z x d W 9 0 O 1 N l Y 3 R p b 2 4 x L 1 R h Y m x l M D A 1 I C h Q Y W d l I D k p L 0 F 1 d G 9 S Z W 1 v d m V k Q 2 9 s d W 1 u c z E u e 0 N v b H V t b j M s M n 0 m c X V v d D s s J n F 1 b 3 Q 7 U 2 V j d G l v b j E v V G F i b G U w M D U g K F B h Z 2 U g O S k v Q X V 0 b 1 J l b W 9 2 Z W R D b 2 x 1 b W 5 z M S 5 7 Q 2 9 s d W 1 u N C w z f S Z x d W 9 0 O y w m c X V v d D t T Z W N 0 a W 9 u M S 9 U Y W J s Z T A w N S A o U G F n Z S A 5 K S 9 B d X R v U m V t b 3 Z l Z E N v b H V t b n M x L n t D b 2 x 1 b W 4 1 L D R 9 J n F 1 b 3 Q 7 L C Z x d W 9 0 O 1 N l Y 3 R p b 2 4 x L 1 R h Y m x l M D A 1 I C h Q Y W d l I D k p L 0 F 1 d G 9 S Z W 1 v d m V k Q 2 9 s d W 1 u c z E u e 0 N v b H V t b j Y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2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N z o 0 N D o z N y 4 1 O T Q y M D I y W i I v P j x F b n R y e S B U e X B l P S J G a W x s Q 2 9 s d W 1 u V H l w Z X M i I F Z h b H V l P S J z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2 I C h Q Y W d l I D E w K S 9 B d X R v U m V t b 3 Z l Z E N v b H V t b n M x L n t D b 2 x 1 b W 4 x L D B 9 J n F 1 b 3 Q 7 L C Z x d W 9 0 O 1 N l Y 3 R p b 2 4 x L 1 R h Y m x l M D A 2 I C h Q Y W d l I D E w K S 9 B d X R v U m V t b 3 Z l Z E N v b H V t b n M x L n t D b 2 x 1 b W 4 y L D F 9 J n F 1 b 3 Q 7 L C Z x d W 9 0 O 1 N l Y 3 R p b 2 4 x L 1 R h Y m x l M D A 2 I C h Q Y W d l I D E w K S 9 B d X R v U m V t b 3 Z l Z E N v b H V t b n M x L n t D b 2 x 1 b W 4 z L D J 9 J n F 1 b 3 Q 7 L C Z x d W 9 0 O 1 N l Y 3 R p b 2 4 x L 1 R h Y m x l M D A 2 I C h Q Y W d l I D E w K S 9 B d X R v U m V t b 3 Z l Z E N v b H V t b n M x L n t D b 2 x 1 b W 4 0 L D N 9 J n F 1 b 3 Q 7 L C Z x d W 9 0 O 1 N l Y 3 R p b 2 4 x L 1 R h Y m x l M D A 2 I C h Q Y W d l I D E w K S 9 B d X R v U m V t b 3 Z l Z E N v b H V t b n M x L n t D b 2 x 1 b W 4 1 L D R 9 J n F 1 b 3 Q 7 L C Z x d W 9 0 O 1 N l Y 3 R p b 2 4 x L 1 R h Y m x l M D A 2 I C h Q Y W d l I D E w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2 I C h Q Y W d l I D E w K S 9 B d X R v U m V t b 3 Z l Z E N v b H V t b n M x L n t D b 2 x 1 b W 4 x L D B 9 J n F 1 b 3 Q 7 L C Z x d W 9 0 O 1 N l Y 3 R p b 2 4 x L 1 R h Y m x l M D A 2 I C h Q Y W d l I D E w K S 9 B d X R v U m V t b 3 Z l Z E N v b H V t b n M x L n t D b 2 x 1 b W 4 y L D F 9 J n F 1 b 3 Q 7 L C Z x d W 9 0 O 1 N l Y 3 R p b 2 4 x L 1 R h Y m x l M D A 2 I C h Q Y W d l I D E w K S 9 B d X R v U m V t b 3 Z l Z E N v b H V t b n M x L n t D b 2 x 1 b W 4 z L D J 9 J n F 1 b 3 Q 7 L C Z x d W 9 0 O 1 N l Y 3 R p b 2 4 x L 1 R h Y m x l M D A 2 I C h Q Y W d l I D E w K S 9 B d X R v U m V t b 3 Z l Z E N v b H V t b n M x L n t D b 2 x 1 b W 4 0 L D N 9 J n F 1 b 3 Q 7 L C Z x d W 9 0 O 1 N l Y 3 R p b 2 4 x L 1 R h Y m x l M D A 2 I C h Q Y W d l I D E w K S 9 B d X R v U m V t b 3 Z l Z E N v b H V t b n M x L n t D b 2 x 1 b W 4 1 L D R 9 J n F 1 b 3 Q 7 L C Z x d W 9 0 O 1 N l Y 3 R p b 2 4 x L 1 R h Y m x l M D A 2 I C h Q Y W d l I D E w K S 9 B d X R v U m V t b 3 Z l Z E N v b H V t b n M x L n t D b 2 x 1 b W 4 2 L D V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y U y M C h Q Y W d l J T I w O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N z o 1 M T o z M C 4 0 M j k 2 M j c x W i I v P j x F b n R y e S B U e X B l P S J G a W x s Q 2 9 s d W 1 u V H l w Z X M i I F Z h b H V l P S J z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z I C h Q Y W d l I D k p L 0 F 1 d G 9 S Z W 1 v d m V k Q 2 9 s d W 1 u c z E u e 0 N v b H V t b j E s M H 0 m c X V v d D s s J n F 1 b 3 Q 7 U 2 V j d G l v b j E v V G F i b G U w M D M g K F B h Z 2 U g O S k v Q X V 0 b 1 J l b W 9 2 Z W R D b 2 x 1 b W 5 z M S 5 7 Q 2 9 s d W 1 u M i w x f S Z x d W 9 0 O y w m c X V v d D t T Z W N 0 a W 9 u M S 9 U Y W J s Z T A w M y A o U G F n Z S A 5 K S 9 B d X R v U m V t b 3 Z l Z E N v b H V t b n M x L n t D b 2 x 1 b W 4 z L D J 9 J n F 1 b 3 Q 7 L C Z x d W 9 0 O 1 N l Y 3 R p b 2 4 x L 1 R h Y m x l M D A z I C h Q Y W d l I D k p L 0 F 1 d G 9 S Z W 1 v d m V k Q 2 9 s d W 1 u c z E u e 0 N v b H V t b j Q s M 3 0 m c X V v d D s s J n F 1 b 3 Q 7 U 2 V j d G l v b j E v V G F i b G U w M D M g K F B h Z 2 U g O S k v Q X V 0 b 1 J l b W 9 2 Z W R D b 2 x 1 b W 5 z M S 5 7 Q 2 9 s d W 1 u N S w 0 f S Z x d W 9 0 O y w m c X V v d D t T Z W N 0 a W 9 u M S 9 U Y W J s Z T A w M y A o U G F n Z S A 5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z I C h Q Y W d l I D k p L 0 F 1 d G 9 S Z W 1 v d m V k Q 2 9 s d W 1 u c z E u e 0 N v b H V t b j E s M H 0 m c X V v d D s s J n F 1 b 3 Q 7 U 2 V j d G l v b j E v V G F i b G U w M D M g K F B h Z 2 U g O S k v Q X V 0 b 1 J l b W 9 2 Z W R D b 2 x 1 b W 5 z M S 5 7 Q 2 9 s d W 1 u M i w x f S Z x d W 9 0 O y w m c X V v d D t T Z W N 0 a W 9 u M S 9 U Y W J s Z T A w M y A o U G F n Z S A 5 K S 9 B d X R v U m V t b 3 Z l Z E N v b H V t b n M x L n t D b 2 x 1 b W 4 z L D J 9 J n F 1 b 3 Q 7 L C Z x d W 9 0 O 1 N l Y 3 R p b 2 4 x L 1 R h Y m x l M D A z I C h Q Y W d l I D k p L 0 F 1 d G 9 S Z W 1 v d m V k Q 2 9 s d W 1 u c z E u e 0 N v b H V t b j Q s M 3 0 m c X V v d D s s J n F 1 b 3 Q 7 U 2 V j d G l v b j E v V G F i b G U w M D M g K F B h Z 2 U g O S k v Q X V 0 b 1 J l b W 9 2 Z W R D b 2 x 1 b W 5 z M S 5 7 Q 2 9 s d W 1 u N S w 0 f S Z x d W 9 0 O y w m c X V v d D t T Z W N 0 a W 9 u M S 9 U Y W J s Z T A w M y A o U G F n Z S A 5 K S 9 B d X R v U m V t b 3 Z l Z E N v b H V t b n M x L n t D b 2 x 1 b W 4 2 L D V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N C U y M C h Q Y W d l J T I w M T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c 6 N T E 6 N T k u M T k x M T Q z N V o i L z 4 8 R W 5 0 c n k g V H l w Z T 0 i R m l s b E N v b H V t b l R 5 c G V z I i B W Y W x 1 Z T 0 i c 0 J n W U d C Z 1 l H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C A o U G F n Z S A x M C k v Q X V 0 b 1 J l b W 9 2 Z W R D b 2 x 1 b W 5 z M S 5 7 Q 2 9 s d W 1 u M S w w f S Z x d W 9 0 O y w m c X V v d D t T Z W N 0 a W 9 u M S 9 U Y W J s Z T A w N C A o U G F n Z S A x M C k v Q X V 0 b 1 J l b W 9 2 Z W R D b 2 x 1 b W 5 z M S 5 7 Q 2 9 s d W 1 u M i w x f S Z x d W 9 0 O y w m c X V v d D t T Z W N 0 a W 9 u M S 9 U Y W J s Z T A w N C A o U G F n Z S A x M C k v Q X V 0 b 1 J l b W 9 2 Z W R D b 2 x 1 b W 5 z M S 5 7 Q 2 9 s d W 1 u M y w y f S Z x d W 9 0 O y w m c X V v d D t T Z W N 0 a W 9 u M S 9 U Y W J s Z T A w N C A o U G F n Z S A x M C k v Q X V 0 b 1 J l b W 9 2 Z W R D b 2 x 1 b W 5 z M S 5 7 Q 2 9 s d W 1 u N C w z f S Z x d W 9 0 O y w m c X V v d D t T Z W N 0 a W 9 u M S 9 U Y W J s Z T A w N C A o U G F n Z S A x M C k v Q X V 0 b 1 J l b W 9 2 Z W R D b 2 x 1 b W 5 z M S 5 7 Q 2 9 s d W 1 u N S w 0 f S Z x d W 9 0 O y w m c X V v d D t T Z W N 0 a W 9 u M S 9 U Y W J s Z T A w N C A o U G F n Z S A x M C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C A o U G F n Z S A x M C k v Q X V 0 b 1 J l b W 9 2 Z W R D b 2 x 1 b W 5 z M S 5 7 Q 2 9 s d W 1 u M S w w f S Z x d W 9 0 O y w m c X V v d D t T Z W N 0 a W 9 u M S 9 U Y W J s Z T A w N C A o U G F n Z S A x M C k v Q X V 0 b 1 J l b W 9 2 Z W R D b 2 x 1 b W 5 z M S 5 7 Q 2 9 s d W 1 u M i w x f S Z x d W 9 0 O y w m c X V v d D t T Z W N 0 a W 9 u M S 9 U Y W J s Z T A w N C A o U G F n Z S A x M C k v Q X V 0 b 1 J l b W 9 2 Z W R D b 2 x 1 b W 5 z M S 5 7 Q 2 9 s d W 1 u M y w y f S Z x d W 9 0 O y w m c X V v d D t T Z W N 0 a W 9 u M S 9 U Y W J s Z T A w N C A o U G F n Z S A x M C k v Q X V 0 b 1 J l b W 9 2 Z W R D b 2 x 1 b W 5 z M S 5 7 Q 2 9 s d W 1 u N C w z f S Z x d W 9 0 O y w m c X V v d D t T Z W N 0 a W 9 u M S 9 U Y W J s Z T A w N C A o U G F n Z S A x M C k v Q X V 0 b 1 J l b W 9 2 Z W R D b 2 x 1 b W 5 z M S 5 7 Q 2 9 s d W 1 u N S w 0 f S Z x d W 9 0 O y w m c X V v d D t T Z W N 0 a W 9 u M S 9 U Y W J s Z T A w N C A o U G F n Z S A x M C k v Q X V 0 b 1 J l b W 9 2 Z W R D b 2 x 1 b W 5 z M S 5 7 Q 2 9 s d W 1 u N i w 1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Q l M j A o U G F n Z S U y M D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g 6 M z Y 6 M j I u N z c y O D U 1 N F o i L z 4 8 R W 5 0 c n k g V H l w Z T 0 i R m l s b E N v b H V t b l R 5 c G V z I i B W Y W x 1 Z T 0 i c 0 J n W U d C Z 1 l H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C A o U G F n Z S A 4 K S 9 B d X R v U m V t b 3 Z l Z E N v b H V t b n M x L n t D b 2 x 1 b W 4 x L D B 9 J n F 1 b 3 Q 7 L C Z x d W 9 0 O 1 N l Y 3 R p b 2 4 x L 1 R h Y m x l M D A 0 I C h Q Y W d l I D g p L 0 F 1 d G 9 S Z W 1 v d m V k Q 2 9 s d W 1 u c z E u e 0 N v b H V t b j I s M X 0 m c X V v d D s s J n F 1 b 3 Q 7 U 2 V j d G l v b j E v V G F i b G U w M D Q g K F B h Z 2 U g O C k v Q X V 0 b 1 J l b W 9 2 Z W R D b 2 x 1 b W 5 z M S 5 7 Q 2 9 s d W 1 u M y w y f S Z x d W 9 0 O y w m c X V v d D t T Z W N 0 a W 9 u M S 9 U Y W J s Z T A w N C A o U G F n Z S A 4 K S 9 B d X R v U m V t b 3 Z l Z E N v b H V t b n M x L n t D b 2 x 1 b W 4 0 L D N 9 J n F 1 b 3 Q 7 L C Z x d W 9 0 O 1 N l Y 3 R p b 2 4 x L 1 R h Y m x l M D A 0 I C h Q Y W d l I D g p L 0 F 1 d G 9 S Z W 1 v d m V k Q 2 9 s d W 1 u c z E u e 0 N v b H V t b j U s N H 0 m c X V v d D s s J n F 1 b 3 Q 7 U 2 V j d G l v b j E v V G F i b G U w M D Q g K F B h Z 2 U g O C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C A o U G F n Z S A 4 K S 9 B d X R v U m V t b 3 Z l Z E N v b H V t b n M x L n t D b 2 x 1 b W 4 x L D B 9 J n F 1 b 3 Q 7 L C Z x d W 9 0 O 1 N l Y 3 R p b 2 4 x L 1 R h Y m x l M D A 0 I C h Q Y W d l I D g p L 0 F 1 d G 9 S Z W 1 v d m V k Q 2 9 s d W 1 u c z E u e 0 N v b H V t b j I s M X 0 m c X V v d D s s J n F 1 b 3 Q 7 U 2 V j d G l v b j E v V G F i b G U w M D Q g K F B h Z 2 U g O C k v Q X V 0 b 1 J l b W 9 2 Z W R D b 2 x 1 b W 5 z M S 5 7 Q 2 9 s d W 1 u M y w y f S Z x d W 9 0 O y w m c X V v d D t T Z W N 0 a W 9 u M S 9 U Y W J s Z T A w N C A o U G F n Z S A 4 K S 9 B d X R v U m V t b 3 Z l Z E N v b H V t b n M x L n t D b 2 x 1 b W 4 0 L D N 9 J n F 1 b 3 Q 7 L C Z x d W 9 0 O 1 N l Y 3 R p b 2 4 x L 1 R h Y m x l M D A 0 I C h Q Y W d l I D g p L 0 F 1 d G 9 S Z W 1 v d m V k Q 2 9 s d W 1 u c z E u e 0 N v b H V t b j U s N H 0 m c X V v d D s s J n F 1 b 3 Q 7 U 2 V j d G l v b j E v V G F i b G U w M D Q g K F B h Z 2 U g O C k v Q X V 0 b 1 J l b W 9 2 Z W R D b 2 x 1 b W 5 z M S 5 7 Q 2 9 s d W 1 u N i w 1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U l M j A o U G F n Z S U y M D k p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g 6 M z Y 6 M j Y u O D g 1 O T c z M 1 o i L z 4 8 R W 5 0 c n k g V H l w Z T 0 i R m l s b E N v b H V t b l R 5 c G V z I i B W Y W x 1 Z T 0 i c 0 J n W U d C Z 1 l H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5 K S A o M i k v Q X V 0 b 1 J l b W 9 2 Z W R D b 2 x 1 b W 5 z M S 5 7 Q 2 9 s d W 1 u M S w w f S Z x d W 9 0 O y w m c X V v d D t T Z W N 0 a W 9 u M S 9 U Y W J s Z T A w N S A o U G F n Z S A 5 K S A o M i k v Q X V 0 b 1 J l b W 9 2 Z W R D b 2 x 1 b W 5 z M S 5 7 Q 2 9 s d W 1 u M i w x f S Z x d W 9 0 O y w m c X V v d D t T Z W N 0 a W 9 u M S 9 U Y W J s Z T A w N S A o U G F n Z S A 5 K S A o M i k v Q X V 0 b 1 J l b W 9 2 Z W R D b 2 x 1 b W 5 z M S 5 7 Q 2 9 s d W 1 u M y w y f S Z x d W 9 0 O y w m c X V v d D t T Z W N 0 a W 9 u M S 9 U Y W J s Z T A w N S A o U G F n Z S A 5 K S A o M i k v Q X V 0 b 1 J l b W 9 2 Z W R D b 2 x 1 b W 5 z M S 5 7 Q 2 9 s d W 1 u N C w z f S Z x d W 9 0 O y w m c X V v d D t T Z W N 0 a W 9 u M S 9 U Y W J s Z T A w N S A o U G F n Z S A 5 K S A o M i k v Q X V 0 b 1 J l b W 9 2 Z W R D b 2 x 1 b W 5 z M S 5 7 Q 2 9 s d W 1 u N S w 0 f S Z x d W 9 0 O y w m c X V v d D t T Z W N 0 a W 9 u M S 9 U Y W J s Z T A w N S A o U G F n Z S A 5 K S A o M i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S A o U G F n Z S A 5 K S A o M i k v Q X V 0 b 1 J l b W 9 2 Z W R D b 2 x 1 b W 5 z M S 5 7 Q 2 9 s d W 1 u M S w w f S Z x d W 9 0 O y w m c X V v d D t T Z W N 0 a W 9 u M S 9 U Y W J s Z T A w N S A o U G F n Z S A 5 K S A o M i k v Q X V 0 b 1 J l b W 9 2 Z W R D b 2 x 1 b W 5 z M S 5 7 Q 2 9 s d W 1 u M i w x f S Z x d W 9 0 O y w m c X V v d D t T Z W N 0 a W 9 u M S 9 U Y W J s Z T A w N S A o U G F n Z S A 5 K S A o M i k v Q X V 0 b 1 J l b W 9 2 Z W R D b 2 x 1 b W 5 z M S 5 7 Q 2 9 s d W 1 u M y w y f S Z x d W 9 0 O y w m c X V v d D t T Z W N 0 a W 9 u M S 9 U Y W J s Z T A w N S A o U G F n Z S A 5 K S A o M i k v Q X V 0 b 1 J l b W 9 2 Z W R D b 2 x 1 b W 5 z M S 5 7 Q 2 9 s d W 1 u N C w z f S Z x d W 9 0 O y w m c X V v d D t T Z W N 0 a W 9 u M S 9 U Y W J s Z T A w N S A o U G F n Z S A 5 K S A o M i k v Q X V 0 b 1 J l b W 9 2 Z W R D b 2 x 1 b W 5 z M S 5 7 Q 2 9 s d W 1 u N S w 0 f S Z x d W 9 0 O y w m c X V v d D t T Z W N 0 a W 9 u M S 9 U Y W J s Z T A w N S A o U G F n Z S A 5 K S A o M i k v Q X V 0 b 1 J l b W 9 2 Z W R D b 2 x 1 b W 5 z M S 5 7 Q 2 9 s d W 1 u N i w 1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x K S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4 O j Q x O j E 2 L j c 2 N D Y z M z l a I i 8 + P E V u d H J 5 I F R 5 c G U 9 I k Z p b G x D b 2 x 1 b W 5 U e X B l c y I g V m F s d W U 9 I n N B d 1 l E Q X c 9 P S I v P j x F b n R y e S B U e X B l P S J G a W x s Q 2 9 s d W 1 u T m F t Z X M i I F Z h b H V l P S J z W y Z x d W 9 0 O 0 P D s 2 R p Z 2 8 g Z G F c b k N v b n R h J n F 1 b 3 Q 7 L C Z x d W 9 0 O 0 R l c 2 N y a c O n w 6 N v I G R h I E N v b n R h J n F 1 b 3 Q 7 L C Z x d W 9 0 O 1 R y a W 1 l c 3 R y Z S B B d H V h b F x u M z A v M D Y v M j A y M i Z x d W 9 0 O y w m c X V v d D t F e G V y Y 8 O t Y 2 l v I E F u d G V y a W 9 y X G 4 z M S 8 x M i 8 y M D I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E p I C g z K S 9 B d X R v U m V t b 3 Z l Z E N v b H V t b n M x L n t D w 7 N k a W d v I G R h X G 5 D b 2 5 0 Y S w w f S Z x d W 9 0 O y w m c X V v d D t T Z W N 0 a W 9 u M S 9 U Y W J s Z T A x N y A o U G F n Z S A x M S k g K D M p L 0 F 1 d G 9 S Z W 1 v d m V k Q 2 9 s d W 1 u c z E u e 0 R l c 2 N y a c O n w 6 N v I G R h I E N v b n R h L D F 9 J n F 1 b 3 Q 7 L C Z x d W 9 0 O 1 N l Y 3 R p b 2 4 x L 1 R h Y m x l M D E 3 I C h Q Y W d l I D E x K S A o M y k v Q X V 0 b 1 J l b W 9 2 Z W R D b 2 x 1 b W 5 z M S 5 7 V H J p b W V z d H J l I E F 0 d W F s X G 4 z M C 8 w N i 8 y M D I y L D J 9 J n F 1 b 3 Q 7 L C Z x d W 9 0 O 1 N l Y 3 R p b 2 4 x L 1 R h Y m x l M D E 3 I C h Q Y W d l I D E x K S A o M y k v Q X V 0 b 1 J l b W 9 2 Z W R D b 2 x 1 b W 5 z M S 5 7 R X h l c m P D r W N p b y B B b n R l c m l v c l x u M z E v M T I v M j A y M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x N y A o U G F n Z S A x M S k g K D M p L 0 F 1 d G 9 S Z W 1 v d m V k Q 2 9 s d W 1 u c z E u e 0 P D s 2 R p Z 2 8 g Z G F c b k N v b n R h L D B 9 J n F 1 b 3 Q 7 L C Z x d W 9 0 O 1 N l Y 3 R p b 2 4 x L 1 R h Y m x l M D E 3 I C h Q Y W d l I D E x K S A o M y k v Q X V 0 b 1 J l b W 9 2 Z W R D b 2 x 1 b W 5 z M S 5 7 R G V z Y 3 J p w 6 f D o 2 8 g Z G E g Q 2 9 u d G E s M X 0 m c X V v d D s s J n F 1 b 3 Q 7 U 2 V j d G l v b j E v V G F i b G U w M T c g K F B h Z 2 U g M T E p I C g z K S 9 B d X R v U m V t b 3 Z l Z E N v b H V t b n M x L n t U c m l t Z X N 0 c m U g Q X R 1 Y W x c b j M w L z A 2 L z I w M j I s M n 0 m c X V v d D s s J n F 1 b 3 Q 7 U 2 V j d G l v b j E v V G F i b G U w M T c g K F B h Z 2 U g M T E p I C g z K S 9 B d X R v U m V t b 3 Z l Z E N v b H V t b n M x L n t F e G V y Y 8 O t Y 2 l v I E F u d G V y a W 9 y X G 4 z M S 8 x M i 8 y M D I x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I p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g 6 N D E 6 M j Y u O T Y w M j c 4 N F o i L z 4 8 R W 5 0 c n k g V H l w Z T 0 i R m l s b E N v b H V t b l R 5 c G V z I i B W Y W x 1 Z T 0 i c 0 F 3 W U R B d z 0 9 I i 8 + P E V u d H J 5 I F R 5 c G U 9 I k Z p b G x D b 2 x 1 b W 5 O Y W 1 l c y I g V m F s d W U 9 I n N b J n F 1 b 3 Q 7 Q 8 O z Z G l n b y B k Y V x u Q 2 9 u d G E m c X V v d D s s J n F 1 b 3 Q 7 R G V z Y 3 J p w 6 f D o 2 8 g Z G E g Q 2 9 u d G E m c X V v d D s s J n F 1 b 3 Q 7 V H J p b W V z d H J l I E F 0 d W F s X G 4 z M C 8 w N i 8 y M D I y J n F 1 b 3 Q 7 L C Z x d W 9 0 O 0 V 4 Z X J j w 6 1 j a W 8 g Q W 5 0 Z X J p b 3 J c b j M x L z E y L z I w M j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O C A o U G F n Z S A x M i k g K D M p L 0 F 1 d G 9 S Z W 1 v d m V k Q 2 9 s d W 1 u c z E u e 0 P D s 2 R p Z 2 8 g Z G F c b k N v b n R h L D B 9 J n F 1 b 3 Q 7 L C Z x d W 9 0 O 1 N l Y 3 R p b 2 4 x L 1 R h Y m x l M D E 4 I C h Q Y W d l I D E y K S A o M y k v Q X V 0 b 1 J l b W 9 2 Z W R D b 2 x 1 b W 5 z M S 5 7 R G V z Y 3 J p w 6 f D o 2 8 g Z G E g Q 2 9 u d G E s M X 0 m c X V v d D s s J n F 1 b 3 Q 7 U 2 V j d G l v b j E v V G F i b G U w M T g g K F B h Z 2 U g M T I p I C g z K S 9 B d X R v U m V t b 3 Z l Z E N v b H V t b n M x L n t U c m l t Z X N 0 c m U g Q X R 1 Y W x c b j M w L z A 2 L z I w M j I s M n 0 m c X V v d D s s J n F 1 b 3 Q 7 U 2 V j d G l v b j E v V G F i b G U w M T g g K F B h Z 2 U g M T I p I C g z K S 9 B d X R v U m V t b 3 Z l Z E N v b H V t b n M x L n t F e G V y Y 8 O t Y 2 l v I E F u d G V y a W 9 y X G 4 z M S 8 x M i 8 y M D I x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E 4 I C h Q Y W d l I D E y K S A o M y k v Q X V 0 b 1 J l b W 9 2 Z W R D b 2 x 1 b W 5 z M S 5 7 Q 8 O z Z G l n b y B k Y V x u Q 2 9 u d G E s M H 0 m c X V v d D s s J n F 1 b 3 Q 7 U 2 V j d G l v b j E v V G F i b G U w M T g g K F B h Z 2 U g M T I p I C g z K S 9 B d X R v U m V t b 3 Z l Z E N v b H V t b n M x L n t E Z X N j c m n D p 8 O j b y B k Y S B D b 2 5 0 Y S w x f S Z x d W 9 0 O y w m c X V v d D t T Z W N 0 a W 9 u M S 9 U Y W J s Z T A x O C A o U G F n Z S A x M i k g K D M p L 0 F 1 d G 9 S Z W 1 v d m V k Q 2 9 s d W 1 u c z E u e 1 R y a W 1 l c 3 R y Z S B B d H V h b F x u M z A v M D Y v M j A y M i w y f S Z x d W 9 0 O y w m c X V v d D t T Z W N 0 a W 9 u M S 9 U Y W J s Z T A x O C A o U G F n Z S A x M i k g K D M p L 0 F 1 d G 9 S Z W 1 v d m V k Q 2 9 s d W 1 u c z E u e 0 V 4 Z X J j w 6 1 j a W 8 g Q W 5 0 Z X J p b 3 J c b j M x L z E y L z I w M j E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0 J T I w K F B h Z 2 U l M j A x M C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O D o 0 N D o x N i 4 1 M T A w M j A y W i I v P j x F b n R y e S B U e X B l P S J G a W x s Q 2 9 s d W 1 u V H l w Z X M i I F Z h b H V l P S J z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0 I C h Q Y W d l I D E w K S A o M i k v Q X V 0 b 1 J l b W 9 2 Z W R D b 2 x 1 b W 5 z M S 5 7 Q 2 9 s d W 1 u M S w w f S Z x d W 9 0 O y w m c X V v d D t T Z W N 0 a W 9 u M S 9 U Y W J s Z T A w N C A o U G F n Z S A x M C k g K D I p L 0 F 1 d G 9 S Z W 1 v d m V k Q 2 9 s d W 1 u c z E u e 0 N v b H V t b j I s M X 0 m c X V v d D s s J n F 1 b 3 Q 7 U 2 V j d G l v b j E v V G F i b G U w M D Q g K F B h Z 2 U g M T A p I C g y K S 9 B d X R v U m V t b 3 Z l Z E N v b H V t b n M x L n t D b 2 x 1 b W 4 z L D J 9 J n F 1 b 3 Q 7 L C Z x d W 9 0 O 1 N l Y 3 R p b 2 4 x L 1 R h Y m x l M D A 0 I C h Q Y W d l I D E w K S A o M i k v Q X V 0 b 1 J l b W 9 2 Z W R D b 2 x 1 b W 5 z M S 5 7 Q 2 9 s d W 1 u N C w z f S Z x d W 9 0 O y w m c X V v d D t T Z W N 0 a W 9 u M S 9 U Y W J s Z T A w N C A o U G F n Z S A x M C k g K D I p L 0 F 1 d G 9 S Z W 1 v d m V k Q 2 9 s d W 1 u c z E u e 0 N v b H V t b j U s N H 0 m c X V v d D s s J n F 1 b 3 Q 7 U 2 V j d G l v b j E v V G F i b G U w M D Q g K F B h Z 2 U g M T A p I C g y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0 I C h Q Y W d l I D E w K S A o M i k v Q X V 0 b 1 J l b W 9 2 Z W R D b 2 x 1 b W 5 z M S 5 7 Q 2 9 s d W 1 u M S w w f S Z x d W 9 0 O y w m c X V v d D t T Z W N 0 a W 9 u M S 9 U Y W J s Z T A w N C A o U G F n Z S A x M C k g K D I p L 0 F 1 d G 9 S Z W 1 v d m V k Q 2 9 s d W 1 u c z E u e 0 N v b H V t b j I s M X 0 m c X V v d D s s J n F 1 b 3 Q 7 U 2 V j d G l v b j E v V G F i b G U w M D Q g K F B h Z 2 U g M T A p I C g y K S 9 B d X R v U m V t b 3 Z l Z E N v b H V t b n M x L n t D b 2 x 1 b W 4 z L D J 9 J n F 1 b 3 Q 7 L C Z x d W 9 0 O 1 N l Y 3 R p b 2 4 x L 1 R h Y m x l M D A 0 I C h Q Y W d l I D E w K S A o M i k v Q X V 0 b 1 J l b W 9 2 Z W R D b 2 x 1 b W 5 z M S 5 7 Q 2 9 s d W 1 u N C w z f S Z x d W 9 0 O y w m c X V v d D t T Z W N 0 a W 9 u M S 9 U Y W J s Z T A w N C A o U G F n Z S A x M C k g K D I p L 0 F 1 d G 9 S Z W 1 v d m V k Q 2 9 s d W 1 u c z E u e 0 N v b H V t b j U s N H 0 m c X V v d D s s J n F 1 b 3 Q 7 U 2 V j d G l v b j E v V G F i b G U w M D Q g K F B h Z 2 U g M T A p I C g y K S 9 B d X R v U m V t b 3 Z l Z E N v b H V t b n M x L n t D b 2 x 1 b W 4 2 L D V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N S U y M C h Q Y W d l J T I w M T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g 6 N D Q 6 N D Q u O D Y 5 N z g 4 M 1 o i L z 4 8 R W 5 0 c n k g V H l w Z T 0 i R m l s b E N v b H V t b l R 5 c G V z I i B W Y W x 1 Z T 0 i c 0 J n W U d C Z 1 l H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x M S k v Q X V 0 b 1 J l b W 9 2 Z W R D b 2 x 1 b W 5 z M S 5 7 Q 2 9 s d W 1 u M S w w f S Z x d W 9 0 O y w m c X V v d D t T Z W N 0 a W 9 u M S 9 U Y W J s Z T A w N S A o U G F n Z S A x M S k v Q X V 0 b 1 J l b W 9 2 Z W R D b 2 x 1 b W 5 z M S 5 7 Q 2 9 s d W 1 u M i w x f S Z x d W 9 0 O y w m c X V v d D t T Z W N 0 a W 9 u M S 9 U Y W J s Z T A w N S A o U G F n Z S A x M S k v Q X V 0 b 1 J l b W 9 2 Z W R D b 2 x 1 b W 5 z M S 5 7 Q 2 9 s d W 1 u M y w y f S Z x d W 9 0 O y w m c X V v d D t T Z W N 0 a W 9 u M S 9 U Y W J s Z T A w N S A o U G F n Z S A x M S k v Q X V 0 b 1 J l b W 9 2 Z W R D b 2 x 1 b W 5 z M S 5 7 Q 2 9 s d W 1 u N C w z f S Z x d W 9 0 O y w m c X V v d D t T Z W N 0 a W 9 u M S 9 U Y W J s Z T A w N S A o U G F n Z S A x M S k v Q X V 0 b 1 J l b W 9 2 Z W R D b 2 x 1 b W 5 z M S 5 7 Q 2 9 s d W 1 u N S w 0 f S Z x d W 9 0 O y w m c X V v d D t T Z W N 0 a W 9 u M S 9 U Y W J s Z T A w N S A o U G F n Z S A x M S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S A o U G F n Z S A x M S k v Q X V 0 b 1 J l b W 9 2 Z W R D b 2 x 1 b W 5 z M S 5 7 Q 2 9 s d W 1 u M S w w f S Z x d W 9 0 O y w m c X V v d D t T Z W N 0 a W 9 u M S 9 U Y W J s Z T A w N S A o U G F n Z S A x M S k v Q X V 0 b 1 J l b W 9 2 Z W R D b 2 x 1 b W 5 z M S 5 7 Q 2 9 s d W 1 u M i w x f S Z x d W 9 0 O y w m c X V v d D t T Z W N 0 a W 9 u M S 9 U Y W J s Z T A w N S A o U G F n Z S A x M S k v Q X V 0 b 1 J l b W 9 2 Z W R D b 2 x 1 b W 5 z M S 5 7 Q 2 9 s d W 1 u M y w y f S Z x d W 9 0 O y w m c X V v d D t T Z W N 0 a W 9 u M S 9 U Y W J s Z T A w N S A o U G F n Z S A x M S k v Q X V 0 b 1 J l b W 9 2 Z W R D b 2 x 1 b W 5 z M S 5 7 Q 2 9 s d W 1 u N C w z f S Z x d W 9 0 O y w m c X V v d D t T Z W N 0 a W 9 u M S 9 U Y W J s Z T A w N S A o U G F n Z S A x M S k v Q X V 0 b 1 J l b W 9 2 Z W R D b 2 x 1 b W 5 z M S 5 7 Q 2 9 s d W 1 u N S w 0 f S Z x d W 9 0 O y w m c X V v d D t T Z W N 0 a W 9 u M S 9 U Y W J s Z T A w N S A o U G F n Z S A x M S k v Q X V 0 b 1 J l b W 9 2 Z W R D b 2 x 1 b W 5 z M S 5 7 Q 2 9 s d W 1 u N i w 1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x K S U y M C g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4 O j U w O j A 2 L j k 2 M D Q z N j J a I i 8 + P E V u d H J 5 I F R 5 c G U 9 I k Z p b G x D b 2 x 1 b W 5 U e X B l c y I g V m F s d W U 9 I n N B d 1 l E Q X c 9 P S I v P j x F b n R y e S B U e X B l P S J G a W x s Q 2 9 s d W 1 u T m F t Z X M i I F Z h b H V l P S J z W y Z x d W 9 0 O 0 P D s 2 R p Z 2 8 g Z G F c b k N v b n R h J n F 1 b 3 Q 7 L C Z x d W 9 0 O 0 R l c 2 N y a c O n w 6 N v I G R h I E N v b n R h J n F 1 b 3 Q 7 L C Z x d W 9 0 O 1 R y a W 1 l c 3 R y Z S B B d H V h b F x u M z A v M D k v M j A y M S Z x d W 9 0 O y w m c X V v d D t F e G V y Y 8 O t Y 2 l v I E F u d G V y a W 9 y X G 4 z M S 8 x M i 8 y M D I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E p I C g 0 K S 9 B d X R v U m V t b 3 Z l Z E N v b H V t b n M x L n t D w 7 N k a W d v I G R h X G 5 D b 2 5 0 Y S w w f S Z x d W 9 0 O y w m c X V v d D t T Z W N 0 a W 9 u M S 9 U Y W J s Z T A x N y A o U G F n Z S A x M S k g K D Q p L 0 F 1 d G 9 S Z W 1 v d m V k Q 2 9 s d W 1 u c z E u e 0 R l c 2 N y a c O n w 6 N v I G R h I E N v b n R h L D F 9 J n F 1 b 3 Q 7 L C Z x d W 9 0 O 1 N l Y 3 R p b 2 4 x L 1 R h Y m x l M D E 3 I C h Q Y W d l I D E x K S A o N C k v Q X V 0 b 1 J l b W 9 2 Z W R D b 2 x 1 b W 5 z M S 5 7 V H J p b W V z d H J l I E F 0 d W F s X G 4 z M C 8 w O S 8 y M D I x L D J 9 J n F 1 b 3 Q 7 L C Z x d W 9 0 O 1 N l Y 3 R p b 2 4 x L 1 R h Y m x l M D E 3 I C h Q Y W d l I D E x K S A o N C k v Q X V 0 b 1 J l b W 9 2 Z W R D b 2 x 1 b W 5 z M S 5 7 R X h l c m P D r W N p b y B B b n R l c m l v c l x u M z E v M T I v M j A y M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x N y A o U G F n Z S A x M S k g K D Q p L 0 F 1 d G 9 S Z W 1 v d m V k Q 2 9 s d W 1 u c z E u e 0 P D s 2 R p Z 2 8 g Z G F c b k N v b n R h L D B 9 J n F 1 b 3 Q 7 L C Z x d W 9 0 O 1 N l Y 3 R p b 2 4 x L 1 R h Y m x l M D E 3 I C h Q Y W d l I D E x K S A o N C k v Q X V 0 b 1 J l b W 9 2 Z W R D b 2 x 1 b W 5 z M S 5 7 R G V z Y 3 J p w 6 f D o 2 8 g Z G E g Q 2 9 u d G E s M X 0 m c X V v d D s s J n F 1 b 3 Q 7 U 2 V j d G l v b j E v V G F i b G U w M T c g K F B h Z 2 U g M T E p I C g 0 K S 9 B d X R v U m V t b 3 Z l Z E N v b H V t b n M x L n t U c m l t Z X N 0 c m U g Q X R 1 Y W x c b j M w L z A 5 L z I w M j E s M n 0 m c X V v d D s s J n F 1 b 3 Q 7 U 2 V j d G l v b j E v V G F i b G U w M T c g K F B h Z 2 U g M T E p I C g 0 K S 9 B d X R v U m V t b 3 Z l Z E N v b H V t b n M x L n t F e G V y Y 8 O t Y 2 l v I E F u d G V y a W 9 y X G 4 z M S 8 x M i 8 y M D I w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I t M T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g 6 N T A 6 N D E u O T g y M j M 2 N l o i L z 4 8 R W 5 0 c n k g V H l w Z T 0 i R m l s b E N v b H V t b l R 5 c G V z I i B W Y W x 1 Z T 0 i c 0 F 3 W U R B d z 0 9 I i 8 + P E V u d H J 5 I F R 5 c G U 9 I k Z p b G x D b 2 x 1 b W 5 O Y W 1 l c y I g V m F s d W U 9 I n N b J n F 1 b 3 Q 7 Q 8 O z Z G l n b y B k Y V x u Q 2 9 u d G E m c X V v d D s s J n F 1 b 3 Q 7 R G V z Y 3 J p w 6 f D o 2 8 g Z G E g Q 2 9 u d G E m c X V v d D s s J n F 1 b 3 Q 7 V H J p b W V z d H J l I E F 0 d W F s X G 4 z M C 8 w O S 8 y M D I x J n F 1 b 3 Q 7 L C Z x d W 9 0 O 0 V 4 Z X J j w 6 1 j a W 8 g Q W 5 0 Z X J p b 3 J c b j M x L z E y L z I w M j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O C A o U G F n Z S A x M i 0 x M y k v Q X V 0 b 1 J l b W 9 2 Z W R D b 2 x 1 b W 5 z M S 5 7 Q 8 O z Z G l n b y B k Y V x u Q 2 9 u d G E s M H 0 m c X V v d D s s J n F 1 b 3 Q 7 U 2 V j d G l v b j E v V G F i b G U w M T g g K F B h Z 2 U g M T I t M T M p L 0 F 1 d G 9 S Z W 1 v d m V k Q 2 9 s d W 1 u c z E u e 0 R l c 2 N y a c O n w 6 N v I G R h I E N v b n R h L D F 9 J n F 1 b 3 Q 7 L C Z x d W 9 0 O 1 N l Y 3 R p b 2 4 x L 1 R h Y m x l M D E 4 I C h Q Y W d l I D E y L T E z K S 9 B d X R v U m V t b 3 Z l Z E N v b H V t b n M x L n t U c m l t Z X N 0 c m U g Q X R 1 Y W x c b j M w L z A 5 L z I w M j E s M n 0 m c X V v d D s s J n F 1 b 3 Q 7 U 2 V j d G l v b j E v V G F i b G U w M T g g K F B h Z 2 U g M T I t M T M p L 0 F 1 d G 9 S Z W 1 v d m V k Q 2 9 s d W 1 u c z E u e 0 V 4 Z X J j w 6 1 j a W 8 g Q W 5 0 Z X J p b 3 J c b j M x L z E y L z I w M j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T g g K F B h Z 2 U g M T I t M T M p L 0 F 1 d G 9 S Z W 1 v d m V k Q 2 9 s d W 1 u c z E u e 0 P D s 2 R p Z 2 8 g Z G F c b k N v b n R h L D B 9 J n F 1 b 3 Q 7 L C Z x d W 9 0 O 1 N l Y 3 R p b 2 4 x L 1 R h Y m x l M D E 4 I C h Q Y W d l I D E y L T E z K S 9 B d X R v U m V t b 3 Z l Z E N v b H V t b n M x L n t E Z X N j c m n D p 8 O j b y B k Y S B D b 2 5 0 Y S w x f S Z x d W 9 0 O y w m c X V v d D t T Z W N 0 a W 9 u M S 9 U Y W J s Z T A x O C A o U G F n Z S A x M i 0 x M y k v Q X V 0 b 1 J l b W 9 2 Z W R D b 2 x 1 b W 5 z M S 5 7 V H J p b W V z d H J l I E F 0 d W F s X G 4 z M C 8 w O S 8 y M D I x L D J 9 J n F 1 b 3 Q 7 L C Z x d W 9 0 O 1 N l Y 3 R p b 2 4 x L 1 R h Y m x l M D E 4 I C h Q Y W d l I D E y L T E z K S 9 B d X R v U m V t b 3 Z l Z E N v b H V t b n M x L n t F e G V y Y 8 O t Y 2 l v I E F u d G V y a W 9 y X G 4 z M S 8 x M i 8 y M D I w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E p J T I w K D U p P C 9 J d G V t U G F 0 a D 4 8 L 0 l 0 Z W 1 M b 2 N h d G l v b j 4 8 U 3 R h Y m x l R W 5 0 c m l l c z 4 8 R W 5 0 c n k g V H l w Z T 0 i Q W R k Z W R U b 0 R h d G F N b 2 R l b C I g V m F s d W U 9 I m w x I i 8 + P E V u d H J 5 I F R 5 c G U 9 I k J 1 Z m Z l c k 5 l e H R S Z W Z y Z X N o I i B W Y W x 1 Z T 0 i b D E i L z 4 8 R W 5 0 c n k g V H l w Z T 0 i R m l s b E N v d W 5 0 I i B W Y W x 1 Z T 0 i b D I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g 6 N T Y 6 M T c u O T Y 5 O D U 4 N F o i L z 4 8 R W 5 0 c n k g V H l w Z T 0 i R m l s b E N v b H V t b l R 5 c G V z I i B W Y W x 1 Z T 0 i c 0 F 3 W U R B d z 0 9 I i 8 + P E V u d H J 5 I F R 5 c G U 9 I k Z p b G x D b 2 x 1 b W 5 O Y W 1 l c y I g V m F s d W U 9 I n N b J n F 1 b 3 Q 7 Q 8 O z Z G l n b y B k Y V x u Q 2 9 u d G E m c X V v d D s s J n F 1 b 3 Q 7 R G V z Y 3 J p w 6 f D o 2 8 g Z G E g Q 2 9 u d G E m c X V v d D s s J n F 1 b 3 Q 7 V H J p b W V z d H J l I E F 0 d W F s X G 4 z M S 8 w M y 8 y M D I y J n F 1 b 3 Q 7 L C Z x d W 9 0 O 0 V 4 Z X J j w 6 1 j a W 8 g Q W 5 0 Z X J p b 3 J c b j M x L z E y L z I w M j E m c X V v d D t d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S I v P j x F b n R y e S B U e X B l P S J J c 1 B y a X Z h d G U i I F Z h b H V l P S J s M C I v P j x F b n R y e S B U e X B l P S J R d W V y e U l E I i B W Y W x 1 Z T 0 i c z c 4 Y z k w N W Q 5 L W N j Y T A t N G I 4 M y 0 5 N T F k L W N m Y j Y 1 Y 2 Q x Y z J i Z S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M S k g K D U p L 1 R p c G 8 g Q W x 0 Z X J h Z G 8 u e 0 P D s 2 R p Z 2 8 g Z G F c b k N v b n R h L D B 9 J n F 1 b 3 Q 7 L C Z x d W 9 0 O 1 N l Y 3 R p b 2 4 x L 1 R h Y m x l M D E 3 I C h Q Y W d l I D E x K S A o N S k v V G l w b y B B b H R l c m F k b y 5 7 R G V z Y 3 J p w 6 f D o 2 8 g Z G E g Q 2 9 u d G E s M X 0 m c X V v d D s s J n F 1 b 3 Q 7 U 2 V j d G l v b j E v V G F i b G U w M T c g K F B h Z 2 U g M T E p I C g 1 K S 9 U a X B v I E F s d G V y Y W R v L n t U c m l t Z X N 0 c m U g Q X R 1 Y W x c b j M x L z A z L z I w M j I s M n 0 m c X V v d D s s J n F 1 b 3 Q 7 U 2 V j d G l v b j E v V G F i b G U w M T c g K F B h Z 2 U g M T E p I C g 1 K S 9 U a X B v I E F s d G V y Y W R v L n t F e G V y Y 8 O t Y 2 l v I E F u d G V y a W 9 y X G 4 z M S 8 x M i 8 y M D I x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E 3 I C h Q Y W d l I D E x K S A o N S k v V G l w b y B B b H R l c m F k b y 5 7 Q 8 O z Z G l n b y B k Y V x u Q 2 9 u d G E s M H 0 m c X V v d D s s J n F 1 b 3 Q 7 U 2 V j d G l v b j E v V G F i b G U w M T c g K F B h Z 2 U g M T E p I C g 1 K S 9 U a X B v I E F s d G V y Y W R v L n t E Z X N j c m n D p 8 O j b y B k Y S B D b 2 5 0 Y S w x f S Z x d W 9 0 O y w m c X V v d D t T Z W N 0 a W 9 u M S 9 U Y W J s Z T A x N y A o U G F n Z S A x M S k g K D U p L 1 R p c G 8 g Q W x 0 Z X J h Z G 8 u e 1 R y a W 1 l c 3 R y Z S B B d H V h b F x u M z E v M D M v M j A y M i w y f S Z x d W 9 0 O y w m c X V v d D t T Z W N 0 a W 9 u M S 9 U Y W J s Z T A x N y A o U G F n Z S A x M S k g K D U p L 1 R p c G 8 g Q W x 0 Z X J h Z G 8 u e 0 V 4 Z X J j w 6 1 j a W 8 g Q W 5 0 Z X J p b 3 J c b j M x L z E y L z I w M j E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x M i k l M j A o N C k 8 L 0 l 0 Z W 1 Q Y X R o P j w v S X R l b U x v Y 2 F 0 a W 9 u P j x T d G F i b G V F b n R y a W V z P j x F b n R y e S B U e X B l P S J B Z G R l Z F R v R G F 0 Y U 1 v Z G V s I i B W Y W x 1 Z T 0 i b D E i L z 4 8 R W 5 0 c n k g V H l w Z T 0 i Q n V m Z m V y T m V 4 d F J l Z n J l c 2 g i I F Z h b H V l P S J s M S I v P j x F b n R y e S B U e X B l P S J G a W x s Q 2 9 1 b n Q i I F Z h b H V l P S J s N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O D o 1 N T o z M i 4 z M T E 0 O T Y y W i I v P j x F b n R y e S B U e X B l P S J G a W x s Q 2 9 s d W 1 u V H l w Z X M i I F Z h b H V l P S J z Q X d Z R E F 3 P T 0 i L z 4 8 R W 5 0 c n k g V H l w Z T 0 i R m l s b E N v b H V t b k 5 h b W V z I i B W Y W x 1 Z T 0 i c 1 s m c X V v d D t D w 7 N k a W d v I G R h X G 5 D b 2 5 0 Y S Z x d W 9 0 O y w m c X V v d D t E Z X N j c m n D p 8 O j b y B k Y S B D b 2 5 0 Y S Z x d W 9 0 O y w m c X V v d D t U c m l t Z X N 0 c m U g Q X R 1 Y W x c b j M x L z A z L z I w M j I m c X V v d D s s J n F 1 b 3 Q 7 R X h l c m P D r W N p b y B B b n R l c m l v c l x u M z E v M T I v M j A y M S Z x d W 9 0 O 1 0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x I i 8 + P E V u d H J 5 I F R 5 c G U 9 I k l z U H J p d m F 0 Z S I g V m F s d W U 9 I m w w I i 8 + P E V u d H J 5 I F R 5 c G U 9 I l F 1 Z X J 5 S U Q i I F Z h b H V l P S J z Z T N h O D d h M T A t N 2 Z i M y 0 0 Y W Q 4 L T g y Y m Y t M 2 N j Z W U 1 Y j F j M W Q y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y K S A o N C k v V G l w b y B B b H R l c m F k b y 5 7 Q 8 O z Z G l n b y B k Y V x u Q 2 9 u d G E s M H 0 m c X V v d D s s J n F 1 b 3 Q 7 U 2 V j d G l v b j E v V G F i b G U w M T g g K F B h Z 2 U g M T I p I C g 0 K S 9 U a X B v I E F s d G V y Y W R v L n t E Z X N j c m n D p 8 O j b y B k Y S B D b 2 5 0 Y S w x f S Z x d W 9 0 O y w m c X V v d D t T Z W N 0 a W 9 u M S 9 U Y W J s Z T A x O C A o U G F n Z S A x M i k g K D Q p L 1 R p c G 8 g Q W x 0 Z X J h Z G 8 u e 1 R y a W 1 l c 3 R y Z S B B d H V h b F x u M z E v M D M v M j A y M i w y f S Z x d W 9 0 O y w m c X V v d D t T Z W N 0 a W 9 u M S 9 U Y W J s Z T A x O C A o U G F n Z S A x M i k g K D Q p L 1 R p c G 8 g Q W x 0 Z X J h Z G 8 u e 0 V 4 Z X J j w 6 1 j a W 8 g Q W 5 0 Z X J p b 3 J c b j M x L z E y L z I w M j E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T g g K F B h Z 2 U g M T I p I C g 0 K S 9 U a X B v I E F s d G V y Y W R v L n t D w 7 N k a W d v I G R h X G 5 D b 2 5 0 Y S w w f S Z x d W 9 0 O y w m c X V v d D t T Z W N 0 a W 9 u M S 9 U Y W J s Z T A x O C A o U G F n Z S A x M i k g K D Q p L 1 R p c G 8 g Q W x 0 Z X J h Z G 8 u e 0 R l c 2 N y a c O n w 6 N v I G R h I E N v b n R h L D F 9 J n F 1 b 3 Q 7 L C Z x d W 9 0 O 1 N l Y 3 R p b 2 4 x L 1 R h Y m x l M D E 4 I C h Q Y W d l I D E y K S A o N C k v V G l w b y B B b H R l c m F k b y 5 7 V H J p b W V z d H J l I E F 0 d W F s X G 4 z M S 8 w M y 8 y M D I y L D J 9 J n F 1 b 3 Q 7 L C Z x d W 9 0 O 1 N l Y 3 R p b 2 4 x L 1 R h Y m x l M D E 4 I C h Q Y W d l I D E y K S A o N C k v V G l w b y B B b H R l c m F k b y 5 7 R X h l c m P D r W N p b y B B b n R l c m l v c l x u M z E v M T I v M j A y M S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x K S U y M C g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5 O j A w O j M 5 L j Q w M j E y N D F a I i 8 + P E V u d H J 5 I F R 5 c G U 9 I k Z p b G x D b 2 x 1 b W 5 U e X B l c y I g V m F s d W U 9 I n N B d 1 l E Q X c 9 P S I v P j x F b n R y e S B U e X B l P S J G a W x s Q 2 9 s d W 1 u T m F t Z X M i I F Z h b H V l P S J z W y Z x d W 9 0 O 0 P D s 2 R p Z 2 8 g Z G F c b k N v b n R h J n F 1 b 3 Q 7 L C Z x d W 9 0 O 0 R l c 2 N y a c O n w 6 N v I G R h I E N v b n R h J n F 1 b 3 Q 7 L C Z x d W 9 0 O 1 R y a W 1 l c 3 R y Z S B B d H V h b F x u M z E v M D M v M j A y M i Z x d W 9 0 O y w m c X V v d D t F e G V y Y 8 O t Y 2 l v I E F u d G V y a W 9 y X G 4 z M S 8 x M i 8 y M D I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E p I C g 2 K S 9 B d X R v U m V t b 3 Z l Z E N v b H V t b n M x L n t D w 7 N k a W d v I G R h X G 5 D b 2 5 0 Y S w w f S Z x d W 9 0 O y w m c X V v d D t T Z W N 0 a W 9 u M S 9 U Y W J s Z T A x N y A o U G F n Z S A x M S k g K D Y p L 0 F 1 d G 9 S Z W 1 v d m V k Q 2 9 s d W 1 u c z E u e 0 R l c 2 N y a c O n w 6 N v I G R h I E N v b n R h L D F 9 J n F 1 b 3 Q 7 L C Z x d W 9 0 O 1 N l Y 3 R p b 2 4 x L 1 R h Y m x l M D E 3 I C h Q Y W d l I D E x K S A o N i k v Q X V 0 b 1 J l b W 9 2 Z W R D b 2 x 1 b W 5 z M S 5 7 V H J p b W V z d H J l I E F 0 d W F s X G 4 z M S 8 w M y 8 y M D I y L D J 9 J n F 1 b 3 Q 7 L C Z x d W 9 0 O 1 N l Y 3 R p b 2 4 x L 1 R h Y m x l M D E 3 I C h Q Y W d l I D E x K S A o N i k v Q X V 0 b 1 J l b W 9 2 Z W R D b 2 x 1 b W 5 z M S 5 7 R X h l c m P D r W N p b y B B b n R l c m l v c l x u M z E v M T I v M j A y M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x N y A o U G F n Z S A x M S k g K D Y p L 0 F 1 d G 9 S Z W 1 v d m V k Q 2 9 s d W 1 u c z E u e 0 P D s 2 R p Z 2 8 g Z G F c b k N v b n R h L D B 9 J n F 1 b 3 Q 7 L C Z x d W 9 0 O 1 N l Y 3 R p b 2 4 x L 1 R h Y m x l M D E 3 I C h Q Y W d l I D E x K S A o N i k v Q X V 0 b 1 J l b W 9 2 Z W R D b 2 x 1 b W 5 z M S 5 7 R G V z Y 3 J p w 6 f D o 2 8 g Z G E g Q 2 9 u d G E s M X 0 m c X V v d D s s J n F 1 b 3 Q 7 U 2 V j d G l v b j E v V G F i b G U w M T c g K F B h Z 2 U g M T E p I C g 2 K S 9 B d X R v U m V t b 3 Z l Z E N v b H V t b n M x L n t U c m l t Z X N 0 c m U g Q X R 1 Y W x c b j M x L z A z L z I w M j I s M n 0 m c X V v d D s s J n F 1 b 3 Q 7 U 2 V j d G l v b j E v V G F i b G U w M T c g K F B h Z 2 U g M T E p I C g 2 K S 9 B d X R v U m V t b 3 Z l Z E N v b H V t b n M x L n t F e G V y Y 8 O t Y 2 l v I E F u d G V y a W 9 y X G 4 z M S 8 x M i 8 y M D I x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I p J T I w K D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k 6 M D E 6 M D k u M D M 5 N T c 0 O F o i L z 4 8 R W 5 0 c n k g V H l w Z T 0 i R m l s b E N v b H V t b l R 5 c G V z I i B W Y W x 1 Z T 0 i c 0 F 3 W U R B d z 0 9 I i 8 + P E V u d H J 5 I F R 5 c G U 9 I k Z p b G x D b 2 x 1 b W 5 O Y W 1 l c y I g V m F s d W U 9 I n N b J n F 1 b 3 Q 7 Q 8 O z Z G l n b y B k Y V x u Q 2 9 u d G E m c X V v d D s s J n F 1 b 3 Q 7 R G V z Y 3 J p w 6 f D o 2 8 g Z G E g Q 2 9 u d G E m c X V v d D s s J n F 1 b 3 Q 7 V H J p b W V z d H J l I E F 0 d W F s X G 4 z M S 8 w M y 8 y M D I y J n F 1 b 3 Q 7 L C Z x d W 9 0 O 0 V 4 Z X J j w 6 1 j a W 8 g Q W 5 0 Z X J p b 3 J c b j M x L z E y L z I w M j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O C A o U G F n Z S A x M i k g K D U p L 0 F 1 d G 9 S Z W 1 v d m V k Q 2 9 s d W 1 u c z E u e 0 P D s 2 R p Z 2 8 g Z G F c b k N v b n R h L D B 9 J n F 1 b 3 Q 7 L C Z x d W 9 0 O 1 N l Y 3 R p b 2 4 x L 1 R h Y m x l M D E 4 I C h Q Y W d l I D E y K S A o N S k v Q X V 0 b 1 J l b W 9 2 Z W R D b 2 x 1 b W 5 z M S 5 7 R G V z Y 3 J p w 6 f D o 2 8 g Z G E g Q 2 9 u d G E s M X 0 m c X V v d D s s J n F 1 b 3 Q 7 U 2 V j d G l v b j E v V G F i b G U w M T g g K F B h Z 2 U g M T I p I C g 1 K S 9 B d X R v U m V t b 3 Z l Z E N v b H V t b n M x L n t U c m l t Z X N 0 c m U g Q X R 1 Y W x c b j M x L z A z L z I w M j I s M n 0 m c X V v d D s s J n F 1 b 3 Q 7 U 2 V j d G l v b j E v V G F i b G U w M T g g K F B h Z 2 U g M T I p I C g 1 K S 9 B d X R v U m V t b 3 Z l Z E N v b H V t b n M x L n t F e G V y Y 8 O t Y 2 l v I E F u d G V y a W 9 y X G 4 z M S 8 x M i 8 y M D I x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E 4 I C h Q Y W d l I D E y K S A o N S k v Q X V 0 b 1 J l b W 9 2 Z W R D b 2 x 1 b W 5 z M S 5 7 Q 8 O z Z G l n b y B k Y V x u Q 2 9 u d G E s M H 0 m c X V v d D s s J n F 1 b 3 Q 7 U 2 V j d G l v b j E v V G F i b G U w M T g g K F B h Z 2 U g M T I p I C g 1 K S 9 B d X R v U m V t b 3 Z l Z E N v b H V t b n M x L n t E Z X N j c m n D p 8 O j b y B k Y S B D b 2 5 0 Y S w x f S Z x d W 9 0 O y w m c X V v d D t T Z W N 0 a W 9 u M S 9 U Y W J s Z T A x O C A o U G F n Z S A x M i k g K D U p L 0 F 1 d G 9 S Z W 1 v d m V k Q 2 9 s d W 1 u c z E u e 1 R y a W 1 l c 3 R y Z S B B d H V h b F x u M z E v M D M v M j A y M i w y f S Z x d W 9 0 O y w m c X V v d D t T Z W N 0 a W 9 u M S 9 U Y W J s Z T A x O C A o U G F n Z S A x M i k g K D U p L 0 F 1 d G 9 S Z W 1 v d m V k Q 2 9 s d W 1 u c z E u e 0 V 4 Z X J j w 6 1 j a W 8 g Q W 5 0 Z X J p b 3 J c b j M x L z E y L z I w M j E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0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5 O j A 4 O j I 4 L j A y M z g z M j N a I i 8 + P E V u d H J 5 I F R 5 c G U 9 I k Z p b G x D b 2 x 1 b W 5 U e X B l c y I g V m F s d W U 9 I n N C Z 1 l H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Q g K F B h Z 2 U g O S k v Q X V 0 b 1 J l b W 9 2 Z W R D b 2 x 1 b W 5 z M S 5 7 Q 2 9 s d W 1 u M S w w f S Z x d W 9 0 O y w m c X V v d D t T Z W N 0 a W 9 u M S 9 U Y W J s Z T A w N C A o U G F n Z S A 5 K S 9 B d X R v U m V t b 3 Z l Z E N v b H V t b n M x L n t D b 2 x 1 b W 4 y L D F 9 J n F 1 b 3 Q 7 L C Z x d W 9 0 O 1 N l Y 3 R p b 2 4 x L 1 R h Y m x l M D A 0 I C h Q Y W d l I D k p L 0 F 1 d G 9 S Z W 1 v d m V k Q 2 9 s d W 1 u c z E u e 0 N v b H V t b j M s M n 0 m c X V v d D s s J n F 1 b 3 Q 7 U 2 V j d G l v b j E v V G F i b G U w M D Q g K F B h Z 2 U g O S k v Q X V 0 b 1 J l b W 9 2 Z W R D b 2 x 1 b W 5 z M S 5 7 Q 2 9 s d W 1 u N C w z f S Z x d W 9 0 O y w m c X V v d D t T Z W N 0 a W 9 u M S 9 U Y W J s Z T A w N C A o U G F n Z S A 5 K S 9 B d X R v U m V t b 3 Z l Z E N v b H V t b n M x L n t D b 2 x 1 b W 4 1 L D R 9 J n F 1 b 3 Q 7 L C Z x d W 9 0 O 1 N l Y 3 R p b 2 4 x L 1 R h Y m x l M D A 0 I C h Q Y W d l I D k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Q g K F B h Z 2 U g O S k v Q X V 0 b 1 J l b W 9 2 Z W R D b 2 x 1 b W 5 z M S 5 7 Q 2 9 s d W 1 u M S w w f S Z x d W 9 0 O y w m c X V v d D t T Z W N 0 a W 9 u M S 9 U Y W J s Z T A w N C A o U G F n Z S A 5 K S 9 B d X R v U m V t b 3 Z l Z E N v b H V t b n M x L n t D b 2 x 1 b W 4 y L D F 9 J n F 1 b 3 Q 7 L C Z x d W 9 0 O 1 N l Y 3 R p b 2 4 x L 1 R h Y m x l M D A 0 I C h Q Y W d l I D k p L 0 F 1 d G 9 S Z W 1 v d m V k Q 2 9 s d W 1 u c z E u e 0 N v b H V t b j M s M n 0 m c X V v d D s s J n F 1 b 3 Q 7 U 2 V j d G l v b j E v V G F i b G U w M D Q g K F B h Z 2 U g O S k v Q X V 0 b 1 J l b W 9 2 Z W R D b 2 x 1 b W 5 z M S 5 7 Q 2 9 s d W 1 u N C w z f S Z x d W 9 0 O y w m c X V v d D t T Z W N 0 a W 9 u M S 9 U Y W J s Z T A w N C A o U G F n Z S A 5 K S 9 B d X R v U m V t b 3 Z l Z E N v b H V t b n M x L n t D b 2 x 1 b W 4 1 L D R 9 J n F 1 b 3 Q 7 L C Z x d W 9 0 O 1 N l Y 3 R p b 2 4 x L 1 R h Y m x l M D A 0 I C h Q Y W d l I D k p L 0 F 1 d G 9 S Z W 1 v d m V k Q 2 9 s d W 1 u c z E u e 0 N v b H V t b j Y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1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O T o w O D o 1 M i 4 0 M T E x N D M 5 W i I v P j x F b n R y e S B U e X B l P S J G a W x s Q 2 9 s d W 1 u V H l w Z X M i I F Z h b H V l P S J z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1 I C h Q Y W d l I D E w K S 9 B d X R v U m V t b 3 Z l Z E N v b H V t b n M x L n t D b 2 x 1 b W 4 x L D B 9 J n F 1 b 3 Q 7 L C Z x d W 9 0 O 1 N l Y 3 R p b 2 4 x L 1 R h Y m x l M D A 1 I C h Q Y W d l I D E w K S 9 B d X R v U m V t b 3 Z l Z E N v b H V t b n M x L n t D b 2 x 1 b W 4 y L D F 9 J n F 1 b 3 Q 7 L C Z x d W 9 0 O 1 N l Y 3 R p b 2 4 x L 1 R h Y m x l M D A 1 I C h Q Y W d l I D E w K S 9 B d X R v U m V t b 3 Z l Z E N v b H V t b n M x L n t D b 2 x 1 b W 4 z L D J 9 J n F 1 b 3 Q 7 L C Z x d W 9 0 O 1 N l Y 3 R p b 2 4 x L 1 R h Y m x l M D A 1 I C h Q Y W d l I D E w K S 9 B d X R v U m V t b 3 Z l Z E N v b H V t b n M x L n t D b 2 x 1 b W 4 0 L D N 9 J n F 1 b 3 Q 7 L C Z x d W 9 0 O 1 N l Y 3 R p b 2 4 x L 1 R h Y m x l M D A 1 I C h Q Y W d l I D E w K S 9 B d X R v U m V t b 3 Z l Z E N v b H V t b n M x L n t D b 2 x 1 b W 4 1 L D R 9 J n F 1 b 3 Q 7 L C Z x d W 9 0 O 1 N l Y 3 R p b 2 4 x L 1 R h Y m x l M D A 1 I C h Q Y W d l I D E w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1 I C h Q Y W d l I D E w K S 9 B d X R v U m V t b 3 Z l Z E N v b H V t b n M x L n t D b 2 x 1 b W 4 x L D B 9 J n F 1 b 3 Q 7 L C Z x d W 9 0 O 1 N l Y 3 R p b 2 4 x L 1 R h Y m x l M D A 1 I C h Q Y W d l I D E w K S 9 B d X R v U m V t b 3 Z l Z E N v b H V t b n M x L n t D b 2 x 1 b W 4 y L D F 9 J n F 1 b 3 Q 7 L C Z x d W 9 0 O 1 N l Y 3 R p b 2 4 x L 1 R h Y m x l M D A 1 I C h Q Y W d l I D E w K S 9 B d X R v U m V t b 3 Z l Z E N v b H V t b n M x L n t D b 2 x 1 b W 4 z L D J 9 J n F 1 b 3 Q 7 L C Z x d W 9 0 O 1 N l Y 3 R p b 2 4 x L 1 R h Y m x l M D A 1 I C h Q Y W d l I D E w K S 9 B d X R v U m V t b 3 Z l Z E N v b H V t b n M x L n t D b 2 x 1 b W 4 0 L D N 9 J n F 1 b 3 Q 7 L C Z x d W 9 0 O 1 N l Y 3 R p b 2 4 x L 1 R h Y m x l M D A 1 I C h Q Y W d l I D E w K S 9 B d X R v U m V t b 3 Z l Z E N v b H V t b n M x L n t D b 2 x 1 b W 4 1 L D R 9 J n F 1 b 3 Q 7 L C Z x d W 9 0 O 1 N l Y 3 R p b 2 4 x L 1 R h Y m x l M D A 1 I C h Q Y W d l I D E w K S 9 B d X R v U m V t b 3 Z l Z E N v b H V t b n M x L n t D b 2 x 1 b W 4 2 L D V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E p J T I w K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k 6 N D g 6 M j Q u N z A 1 M j U 5 M l o i L z 4 8 R W 5 0 c n k g V H l w Z T 0 i R m l s b E N v b H V t b l R 5 c G V z I i B W Y W x 1 Z T 0 i c 0 F 3 W U R B d z 0 9 I i 8 + P E V u d H J 5 I F R 5 c G U 9 I k Z p b G x D b 2 x 1 b W 5 O Y W 1 l c y I g V m F s d W U 9 I n N b J n F 1 b 3 Q 7 Q 8 O z Z G l n b y B k Y V x u Q 2 9 u d G E m c X V v d D s s J n F 1 b 3 Q 7 R G V z Y 3 J p w 6 f D o 2 8 g Z G E g Q 2 9 u d G E m c X V v d D s s J n F 1 b 3 Q 7 V H J p b W V z d H J l I E F 0 d W F s X G 4 z M S 8 w M y 8 y M D I z J n F 1 b 3 Q 7 L C Z x d W 9 0 O 0 V 4 Z X J j w 6 1 j a W 8 g Q W 5 0 Z X J p b 3 J c b j M x L z E y L z I w M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M S k g K D c p L 0 F 1 d G 9 S Z W 1 v d m V k Q 2 9 s d W 1 u c z E u e 0 P D s 2 R p Z 2 8 g Z G F c b k N v b n R h L D B 9 J n F 1 b 3 Q 7 L C Z x d W 9 0 O 1 N l Y 3 R p b 2 4 x L 1 R h Y m x l M D E 3 I C h Q Y W d l I D E x K S A o N y k v Q X V 0 b 1 J l b W 9 2 Z W R D b 2 x 1 b W 5 z M S 5 7 R G V z Y 3 J p w 6 f D o 2 8 g Z G E g Q 2 9 u d G E s M X 0 m c X V v d D s s J n F 1 b 3 Q 7 U 2 V j d G l v b j E v V G F i b G U w M T c g K F B h Z 2 U g M T E p I C g 3 K S 9 B d X R v U m V t b 3 Z l Z E N v b H V t b n M x L n t U c m l t Z X N 0 c m U g Q X R 1 Y W x c b j M x L z A z L z I w M j M s M n 0 m c X V v d D s s J n F 1 b 3 Q 7 U 2 V j d G l v b j E v V G F i b G U w M T c g K F B h Z 2 U g M T E p I C g 3 K S 9 B d X R v U m V t b 3 Z l Z E N v b H V t b n M x L n t F e G V y Y 8 O t Y 2 l v I E F u d G V y a W 9 y X G 4 z M S 8 x M i 8 y M D I y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E 3 I C h Q Y W d l I D E x K S A o N y k v Q X V 0 b 1 J l b W 9 2 Z W R D b 2 x 1 b W 5 z M S 5 7 Q 8 O z Z G l n b y B k Y V x u Q 2 9 u d G E s M H 0 m c X V v d D s s J n F 1 b 3 Q 7 U 2 V j d G l v b j E v V G F i b G U w M T c g K F B h Z 2 U g M T E p I C g 3 K S 9 B d X R v U m V t b 3 Z l Z E N v b H V t b n M x L n t E Z X N j c m n D p 8 O j b y B k Y S B D b 2 5 0 Y S w x f S Z x d W 9 0 O y w m c X V v d D t T Z W N 0 a W 9 u M S 9 U Y W J s Z T A x N y A o U G F n Z S A x M S k g K D c p L 0 F 1 d G 9 S Z W 1 v d m V k Q 2 9 s d W 1 u c z E u e 1 R y a W 1 l c 3 R y Z S B B d H V h b F x u M z E v M D M v M j A y M y w y f S Z x d W 9 0 O y w m c X V v d D t T Z W N 0 a W 9 u M S 9 U Y W J s Z T A x N y A o U G F n Z S A x M S k g K D c p L 0 F 1 d G 9 S Z W 1 v d m V k Q 2 9 s d W 1 u c z E u e 0 V 4 Z X J j w 6 1 j a W 8 g Q W 5 0 Z X J p b 3 J c b j M x L z E y L z I w M j I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x M i k l M j A o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D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O T o 0 O D o 1 N y 4 x O T I 0 M T M 3 W i I v P j x F b n R y e S B U e X B l P S J G a W x s Q 2 9 s d W 1 u V H l w Z X M i I F Z h b H V l P S J z Q X d Z R E F 3 P T 0 i L z 4 8 R W 5 0 c n k g V H l w Z T 0 i R m l s b E N v b H V t b k 5 h b W V z I i B W Y W x 1 Z T 0 i c 1 s m c X V v d D t D w 7 N k a W d v I G R h X G 5 D b 2 5 0 Y S Z x d W 9 0 O y w m c X V v d D t E Z X N j c m n D p 8 O j b y B k Y S B D b 2 5 0 Y S Z x d W 9 0 O y w m c X V v d D t U c m l t Z X N 0 c m U g Q X R 1 Y W x c b j M x L z A z L z I w M j M m c X V v d D s s J n F 1 b 3 Q 7 R X h l c m P D r W N p b y B B b n R l c m l v c l x u M z E v M T I v M j A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y K S A o N i k v Q X V 0 b 1 J l b W 9 2 Z W R D b 2 x 1 b W 5 z M S 5 7 Q 8 O z Z G l n b y B k Y V x u Q 2 9 u d G E s M H 0 m c X V v d D s s J n F 1 b 3 Q 7 U 2 V j d G l v b j E v V G F i b G U w M T g g K F B h Z 2 U g M T I p I C g 2 K S 9 B d X R v U m V t b 3 Z l Z E N v b H V t b n M x L n t E Z X N j c m n D p 8 O j b y B k Y S B D b 2 5 0 Y S w x f S Z x d W 9 0 O y w m c X V v d D t T Z W N 0 a W 9 u M S 9 U Y W J s Z T A x O C A o U G F n Z S A x M i k g K D Y p L 0 F 1 d G 9 S Z W 1 v d m V k Q 2 9 s d W 1 u c z E u e 1 R y a W 1 l c 3 R y Z S B B d H V h b F x u M z E v M D M v M j A y M y w y f S Z x d W 9 0 O y w m c X V v d D t T Z W N 0 a W 9 u M S 9 U Y W J s Z T A x O C A o U G F n Z S A x M i k g K D Y p L 0 F 1 d G 9 S Z W 1 v d m V k Q 2 9 s d W 1 u c z E u e 0 V 4 Z X J j w 6 1 j a W 8 g Q W 5 0 Z X J p b 3 J c b j M x L z E y L z I w M j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T g g K F B h Z 2 U g M T I p I C g 2 K S 9 B d X R v U m V t b 3 Z l Z E N v b H V t b n M x L n t D w 7 N k a W d v I G R h X G 5 D b 2 5 0 Y S w w f S Z x d W 9 0 O y w m c X V v d D t T Z W N 0 a W 9 u M S 9 U Y W J s Z T A x O C A o U G F n Z S A x M i k g K D Y p L 0 F 1 d G 9 S Z W 1 v d m V k Q 2 9 s d W 1 u c z E u e 0 R l c 2 N y a c O n w 6 N v I G R h I E N v b n R h L D F 9 J n F 1 b 3 Q 7 L C Z x d W 9 0 O 1 N l Y 3 R p b 2 4 x L 1 R h Y m x l M D E 4 I C h Q Y W d l I D E y K S A o N i k v Q X V 0 b 1 J l b W 9 2 Z W R D b 2 x 1 b W 5 z M S 5 7 V H J p b W V z d H J l I E F 0 d W F s X G 4 z M S 8 w M y 8 y M D I z L D J 9 J n F 1 b 3 Q 7 L C Z x d W 9 0 O 1 N l Y 3 R p b 2 4 x L 1 R h Y m x l M D E 4 I C h Q Y W d l I D E y K S A o N i k v Q X V 0 b 1 J l b W 9 2 Z W R D b 2 x 1 b W 5 z M S 5 7 R X h l c m P D r W N p b y B B b n R l c m l v c l x u M z E v M T I v M j A y M i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x K S U y M C g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k t M D V U M T k 6 M D M 6 M j A u N T M 5 M D c z N V o i L z 4 8 R W 5 0 c n k g V H l w Z T 0 i R m l s b E N v b H V t b l R 5 c G V z I i B W Y W x 1 Z T 0 i c 0 F 3 W U R B d z 0 9 I i 8 + P E V u d H J 5 I F R 5 c G U 9 I k Z p b G x D b 2 x 1 b W 5 O Y W 1 l c y I g V m F s d W U 9 I n N b J n F 1 b 3 Q 7 Q 8 O z Z G l n b y B k Y V x u Q 2 9 u d G E m c X V v d D s s J n F 1 b 3 Q 7 R G V z Y 3 J p w 6 f D o 2 8 g Z G E g Q 2 9 u d G E m c X V v d D s s J n F 1 b 3 Q 7 V H J p b W V z d H J l I E F 0 d W F s X G 4 z M C 8 w N i 8 y M D I y J n F 1 b 3 Q 7 L C Z x d W 9 0 O 0 V 4 Z X J j w 6 1 j a W 8 g Q W 5 0 Z X J p b 3 J c b j M x L z E y L z I w M j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M S k g K D g p L 0 F 1 d G 9 S Z W 1 v d m V k Q 2 9 s d W 1 u c z E u e 0 P D s 2 R p Z 2 8 g Z G F c b k N v b n R h L D B 9 J n F 1 b 3 Q 7 L C Z x d W 9 0 O 1 N l Y 3 R p b 2 4 x L 1 R h Y m x l M D E 3 I C h Q Y W d l I D E x K S A o O C k v Q X V 0 b 1 J l b W 9 2 Z W R D b 2 x 1 b W 5 z M S 5 7 R G V z Y 3 J p w 6 f D o 2 8 g Z G E g Q 2 9 u d G E s M X 0 m c X V v d D s s J n F 1 b 3 Q 7 U 2 V j d G l v b j E v V G F i b G U w M T c g K F B h Z 2 U g M T E p I C g 4 K S 9 B d X R v U m V t b 3 Z l Z E N v b H V t b n M x L n t U c m l t Z X N 0 c m U g Q X R 1 Y W x c b j M w L z A 2 L z I w M j I s M n 0 m c X V v d D s s J n F 1 b 3 Q 7 U 2 V j d G l v b j E v V G F i b G U w M T c g K F B h Z 2 U g M T E p I C g 4 K S 9 B d X R v U m V t b 3 Z l Z E N v b H V t b n M x L n t F e G V y Y 8 O t Y 2 l v I E F u d G V y a W 9 y X G 4 z M S 8 x M i 8 y M D I x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E 3 I C h Q Y W d l I D E x K S A o O C k v Q X V 0 b 1 J l b W 9 2 Z W R D b 2 x 1 b W 5 z M S 5 7 Q 8 O z Z G l n b y B k Y V x u Q 2 9 u d G E s M H 0 m c X V v d D s s J n F 1 b 3 Q 7 U 2 V j d G l v b j E v V G F i b G U w M T c g K F B h Z 2 U g M T E p I C g 4 K S 9 B d X R v U m V t b 3 Z l Z E N v b H V t b n M x L n t E Z X N j c m n D p 8 O j b y B k Y S B D b 2 5 0 Y S w x f S Z x d W 9 0 O y w m c X V v d D t T Z W N 0 a W 9 u M S 9 U Y W J s Z T A x N y A o U G F n Z S A x M S k g K D g p L 0 F 1 d G 9 S Z W 1 v d m V k Q 2 9 s d W 1 u c z E u e 1 R y a W 1 l c 3 R y Z S B B d H V h b F x u M z A v M D Y v M j A y M i w y f S Z x d W 9 0 O y w m c X V v d D t T Z W N 0 a W 9 u M S 9 U Y W J s Z T A x N y A o U G F n Z S A x M S k g K D g p L 0 F 1 d G 9 S Z W 1 v d m V k Q 2 9 s d W 1 u c z E u e 0 V 4 Z X J j w 6 1 j a W 8 g Q W 5 0 Z X J p b 3 J c b j M x L z E y L z I w M j E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x M i k l M j A o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5 L T A 1 V D E 5 O j A z O j M w L j c w N j A 4 M j N a I i 8 + P E V u d H J 5 I F R 5 c G U 9 I k Z p b G x D b 2 x 1 b W 5 U e X B l c y I g V m F s d W U 9 I n N B d 1 l E Q X c 9 P S I v P j x F b n R y e S B U e X B l P S J G a W x s Q 2 9 s d W 1 u T m F t Z X M i I F Z h b H V l P S J z W y Z x d W 9 0 O 0 P D s 2 R p Z 2 8 g Z G F c b k N v b n R h J n F 1 b 3 Q 7 L C Z x d W 9 0 O 0 R l c 2 N y a c O n w 6 N v I G R h I E N v b n R h J n F 1 b 3 Q 7 L C Z x d W 9 0 O 1 R y a W 1 l c 3 R y Z S B B d H V h b F x u M z A v M D Y v M j A y M i Z x d W 9 0 O y w m c X V v d D t F e G V y Y 8 O t Y 2 l v I E F u d G V y a W 9 y X G 4 z M S 8 x M i 8 y M D I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T I p I C g 3 K S 9 B d X R v U m V t b 3 Z l Z E N v b H V t b n M x L n t D w 7 N k a W d v I G R h X G 5 D b 2 5 0 Y S w w f S Z x d W 9 0 O y w m c X V v d D t T Z W N 0 a W 9 u M S 9 U Y W J s Z T A x O C A o U G F n Z S A x M i k g K D c p L 0 F 1 d G 9 S Z W 1 v d m V k Q 2 9 s d W 1 u c z E u e 0 R l c 2 N y a c O n w 6 N v I G R h I E N v b n R h L D F 9 J n F 1 b 3 Q 7 L C Z x d W 9 0 O 1 N l Y 3 R p b 2 4 x L 1 R h Y m x l M D E 4 I C h Q Y W d l I D E y K S A o N y k v Q X V 0 b 1 J l b W 9 2 Z W R D b 2 x 1 b W 5 z M S 5 7 V H J p b W V z d H J l I E F 0 d W F s X G 4 z M C 8 w N i 8 y M D I y L D J 9 J n F 1 b 3 Q 7 L C Z x d W 9 0 O 1 N l Y 3 R p b 2 4 x L 1 R h Y m x l M D E 4 I C h Q Y W d l I D E y K S A o N y k v Q X V 0 b 1 J l b W 9 2 Z W R D b 2 x 1 b W 5 z M S 5 7 R X h l c m P D r W N p b y B B b n R l c m l v c l x u M z E v M T I v M j A y M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x O C A o U G F n Z S A x M i k g K D c p L 0 F 1 d G 9 S Z W 1 v d m V k Q 2 9 s d W 1 u c z E u e 0 P D s 2 R p Z 2 8 g Z G F c b k N v b n R h L D B 9 J n F 1 b 3 Q 7 L C Z x d W 9 0 O 1 N l Y 3 R p b 2 4 x L 1 R h Y m x l M D E 4 I C h Q Y W d l I D E y K S A o N y k v Q X V 0 b 1 J l b W 9 2 Z W R D b 2 x 1 b W 5 z M S 5 7 R G V z Y 3 J p w 6 f D o 2 8 g Z G E g Q 2 9 u d G E s M X 0 m c X V v d D s s J n F 1 b 3 Q 7 U 2 V j d G l v b j E v V G F i b G U w M T g g K F B h Z 2 U g M T I p I C g 3 K S 9 B d X R v U m V t b 3 Z l Z E N v b H V t b n M x L n t U c m l t Z X N 0 c m U g Q X R 1 Y W x c b j M w L z A 2 L z I w M j I s M n 0 m c X V v d D s s J n F 1 b 3 Q 7 U 2 V j d G l v b j E v V G F i b G U w M T g g K F B h Z 2 U g M T I p I C g 3 K S 9 B d X R v U m V t b 3 Z l Z E N v b H V t b n M x L n t F e G V y Y 8 O t Y 2 l v I E F u d G V y a W 9 y X G 4 z M S 8 x M i 8 y M D I x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3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k t M D Z U M T Y 6 N T k 6 N D I u M T Y x M T I 4 O V o i L z 4 8 R W 5 0 c n k g V H l w Z T 0 i R m l s b E N v b H V t b l R 5 c G V z I i B W Y W x 1 Z T 0 i c 0 J n W U d C Z 1 l E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y M i k v Q X V 0 b 1 J l b W 9 2 Z W R D b 2 x 1 b W 5 z M S 5 7 Q 2 9 s d W 1 u M S w w f S Z x d W 9 0 O y w m c X V v d D t T Z W N 0 a W 9 u M S 9 U Y W J s Z T A x M i A o U G F n Z S A y M i k v Q X V 0 b 1 J l b W 9 2 Z W R D b 2 x 1 b W 5 z M S 5 7 Q 2 9 s d W 1 u M i w x f S Z x d W 9 0 O y w m c X V v d D t T Z W N 0 a W 9 u M S 9 U Y W J s Z T A x M i A o U G F n Z S A y M i k v Q X V 0 b 1 J l b W 9 2 Z W R D b 2 x 1 b W 5 z M S 5 7 Q 2 9 s d W 1 u M y w y f S Z x d W 9 0 O y w m c X V v d D t T Z W N 0 a W 9 u M S 9 U Y W J s Z T A x M i A o U G F n Z S A y M i k v Q X V 0 b 1 J l b W 9 2 Z W R D b 2 x 1 b W 5 z M S 5 7 Q 2 9 s d W 1 u N C w z f S Z x d W 9 0 O y w m c X V v d D t T Z W N 0 a W 9 u M S 9 U Y W J s Z T A x M i A o U G F n Z S A y M i k v Q X V 0 b 1 J l b W 9 2 Z W R D b 2 x 1 b W 5 z M S 5 7 Q 2 9 s d W 1 u N S w 0 f S Z x d W 9 0 O y w m c X V v d D t T Z W N 0 a W 9 u M S 9 U Y W J s Z T A x M i A o U G F n Z S A y M i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x M i A o U G F n Z S A y M i k v Q X V 0 b 1 J l b W 9 2 Z W R D b 2 x 1 b W 5 z M S 5 7 Q 2 9 s d W 1 u M S w w f S Z x d W 9 0 O y w m c X V v d D t T Z W N 0 a W 9 u M S 9 U Y W J s Z T A x M i A o U G F n Z S A y M i k v Q X V 0 b 1 J l b W 9 2 Z W R D b 2 x 1 b W 5 z M S 5 7 Q 2 9 s d W 1 u M i w x f S Z x d W 9 0 O y w m c X V v d D t T Z W N 0 a W 9 u M S 9 U Y W J s Z T A x M i A o U G F n Z S A y M i k v Q X V 0 b 1 J l b W 9 2 Z W R D b 2 x 1 b W 5 z M S 5 7 Q 2 9 s d W 1 u M y w y f S Z x d W 9 0 O y w m c X V v d D t T Z W N 0 a W 9 u M S 9 U Y W J s Z T A x M i A o U G F n Z S A y M i k v Q X V 0 b 1 J l b W 9 2 Z W R D b 2 x 1 b W 5 z M S 5 7 Q 2 9 s d W 1 u N C w z f S Z x d W 9 0 O y w m c X V v d D t T Z W N 0 a W 9 u M S 9 U Y W J s Z T A x M i A o U G F n Z S A y M i k v Q X V 0 b 1 J l b W 9 2 Z W R D b 2 x 1 b W 5 z M S 5 7 Q 2 9 s d W 1 u N S w 0 f S Z x d W 9 0 O y w m c X V v d D t T Z W N 0 a W 9 u M S 9 U Y W J s Z T A x M i A o U G F n Z S A y M i k v Q X V 0 b 1 J l b W 9 2 Z W R D b 2 x 1 b W 5 z M S 5 7 Q 2 9 s d W 1 u N i w 1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I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5 L T A 2 V D E 3 O j A w O j E x L j c y N z k 0 N D l a I i 8 + P E V u d H J 5 I F R 5 c G U 9 I k Z p b G x D b 2 x 1 b W 5 U e X B l c y I g V m F s d W U 9 I n N C Z 1 l H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j M p L 0 F 1 d G 9 S Z W 1 v d m V k Q 2 9 s d W 1 u c z E u e 0 N v b H V t b j E s M H 0 m c X V v d D s s J n F 1 b 3 Q 7 U 2 V j d G l v b j E v V G F i b G U w M T M g K F B h Z 2 U g M j M p L 0 F 1 d G 9 S Z W 1 v d m V k Q 2 9 s d W 1 u c z E u e 0 N v b H V t b j I s M X 0 m c X V v d D s s J n F 1 b 3 Q 7 U 2 V j d G l v b j E v V G F i b G U w M T M g K F B h Z 2 U g M j M p L 0 F 1 d G 9 S Z W 1 v d m V k Q 2 9 s d W 1 u c z E u e 0 N v b H V t b j M s M n 0 m c X V v d D s s J n F 1 b 3 Q 7 U 2 V j d G l v b j E v V G F i b G U w M T M g K F B h Z 2 U g M j M p L 0 F 1 d G 9 S Z W 1 v d m V k Q 2 9 s d W 1 u c z E u e 0 N v b H V t b j Q s M 3 0 m c X V v d D s s J n F 1 b 3 Q 7 U 2 V j d G l v b j E v V G F i b G U w M T M g K F B h Z 2 U g M j M p L 0 F 1 d G 9 S Z W 1 v d m V k Q 2 9 s d W 1 u c z E u e 0 N v b H V t b j U s N H 0 m c X V v d D s s J n F 1 b 3 Q 7 U 2 V j d G l v b j E v V G F i b G U w M T M g K F B h Z 2 U g M j M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T M g K F B h Z 2 U g M j M p L 0 F 1 d G 9 S Z W 1 v d m V k Q 2 9 s d W 1 u c z E u e 0 N v b H V t b j E s M H 0 m c X V v d D s s J n F 1 b 3 Q 7 U 2 V j d G l v b j E v V G F i b G U w M T M g K F B h Z 2 U g M j M p L 0 F 1 d G 9 S Z W 1 v d m V k Q 2 9 s d W 1 u c z E u e 0 N v b H V t b j I s M X 0 m c X V v d D s s J n F 1 b 3 Q 7 U 2 V j d G l v b j E v V G F i b G U w M T M g K F B h Z 2 U g M j M p L 0 F 1 d G 9 S Z W 1 v d m V k Q 2 9 s d W 1 u c z E u e 0 N v b H V t b j M s M n 0 m c X V v d D s s J n F 1 b 3 Q 7 U 2 V j d G l v b j E v V G F i b G U w M T M g K F B h Z 2 U g M j M p L 0 F 1 d G 9 S Z W 1 v d m V k Q 2 9 s d W 1 u c z E u e 0 N v b H V t b j Q s M 3 0 m c X V v d D s s J n F 1 b 3 Q 7 U 2 V j d G l v b j E v V G F i b G U w M T M g K F B h Z 2 U g M j M p L 0 F 1 d G 9 S Z W 1 v d m V k Q 2 9 s d W 1 u c z E u e 0 N v b H V t b j U s N H 0 m c X V v d D s s J n F 1 b 3 Q 7 U 2 V j d G l v b j E v V G F i b G U w M T M g K F B h Z 2 U g M j M p L 0 F 1 d G 9 S Z W 1 v d m V k Q 2 9 s d W 1 u c z E u e 0 N v b H V t b j Y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M S k l M j A o O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S 0 w N l Q x N z o z N D o w M y 4 0 M D A 0 N T Q w W i I v P j x F b n R y e S B U e X B l P S J G a W x s Q 2 9 s d W 1 u V H l w Z X M i I F Z h b H V l P S J z Q X d Z R E F 3 P T 0 i L z 4 8 R W 5 0 c n k g V H l w Z T 0 i R m l s b E N v b H V t b k 5 h b W V z I i B W Y W x 1 Z T 0 i c 1 s m c X V v d D t D w 7 N k a W d v I G R h X G 5 D b 2 5 0 Y S Z x d W 9 0 O y w m c X V v d D t E Z X N j c m n D p 8 O j b y B k Y S B D b 2 5 0 Y S Z x d W 9 0 O y w m c X V v d D t U c m l t Z X N 0 c m U g Q X R 1 Y W x c b j M w L z A 2 L z I w M j M m c X V v d D s s J n F 1 b 3 Q 7 R X h l c m P D r W N p b y B B b n R l c m l v c l x u M z E v M T I v M j A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3 I C h Q Y W d l I D E x K S A o O S k v Q X V 0 b 1 J l b W 9 2 Z W R D b 2 x 1 b W 5 z M S 5 7 Q 8 O z Z G l n b y B k Y V x u Q 2 9 u d G E s M H 0 m c X V v d D s s J n F 1 b 3 Q 7 U 2 V j d G l v b j E v V G F i b G U w M T c g K F B h Z 2 U g M T E p I C g 5 K S 9 B d X R v U m V t b 3 Z l Z E N v b H V t b n M x L n t E Z X N j c m n D p 8 O j b y B k Y S B D b 2 5 0 Y S w x f S Z x d W 9 0 O y w m c X V v d D t T Z W N 0 a W 9 u M S 9 U Y W J s Z T A x N y A o U G F n Z S A x M S k g K D k p L 0 F 1 d G 9 S Z W 1 v d m V k Q 2 9 s d W 1 u c z E u e 1 R y a W 1 l c 3 R y Z S B B d H V h b F x u M z A v M D Y v M j A y M y w y f S Z x d W 9 0 O y w m c X V v d D t T Z W N 0 a W 9 u M S 9 U Y W J s Z T A x N y A o U G F n Z S A x M S k g K D k p L 0 F 1 d G 9 S Z W 1 v d m V k Q 2 9 s d W 1 u c z E u e 0 V 4 Z X J j w 6 1 j a W 8 g Q W 5 0 Z X J p b 3 J c b j M x L z E y L z I w M j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T c g K F B h Z 2 U g M T E p I C g 5 K S 9 B d X R v U m V t b 3 Z l Z E N v b H V t b n M x L n t D w 7 N k a W d v I G R h X G 5 D b 2 5 0 Y S w w f S Z x d W 9 0 O y w m c X V v d D t T Z W N 0 a W 9 u M S 9 U Y W J s Z T A x N y A o U G F n Z S A x M S k g K D k p L 0 F 1 d G 9 S Z W 1 v d m V k Q 2 9 s d W 1 u c z E u e 0 R l c 2 N y a c O n w 6 N v I G R h I E N v b n R h L D F 9 J n F 1 b 3 Q 7 L C Z x d W 9 0 O 1 N l Y 3 R p b 2 4 x L 1 R h Y m x l M D E 3 I C h Q Y W d l I D E x K S A o O S k v Q X V 0 b 1 J l b W 9 2 Z W R D b 2 x 1 b W 5 z M S 5 7 V H J p b W V z d H J l I E F 0 d W F s X G 4 z M C 8 w N i 8 y M D I z L D J 9 J n F 1 b 3 Q 7 L C Z x d W 9 0 O 1 N l Y 3 R p b 2 4 x L 1 R h Y m x l M D E 3 I C h Q Y W d l I D E x K S A o O S k v Q X V 0 b 1 J l b W 9 2 Z W R D b 2 x 1 b W 5 z M S 5 7 R X h l c m P D r W N p b y B B b n R l c m l v c l x u M z E v M T I v M j A y M i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y K S U y M C g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5 L T A 2 V D E 3 O j M 2 O j A 0 L j c w N D A 3 O T l a I i 8 + P E V u d H J 5 I F R 5 c G U 9 I k Z p b G x D b 2 x 1 b W 5 U e X B l c y I g V m F s d W U 9 I n N B d 1 l E Q X c 9 P S I v P j x F b n R y e S B U e X B l P S J G a W x s Q 2 9 s d W 1 u T m F t Z X M i I F Z h b H V l P S J z W y Z x d W 9 0 O 0 P D s 2 R p Z 2 8 g Z G F c b k N v b n R h J n F 1 b 3 Q 7 L C Z x d W 9 0 O 0 R l c 2 N y a c O n w 6 N v I G R h I E N v b n R h J n F 1 b 3 Q 7 L C Z x d W 9 0 O 1 R y a W 1 l c 3 R y Z S B B d H V h b F x u M z A v M D Y v M j A y M y Z x d W 9 0 O y w m c X V v d D t F e G V y Y 8 O t Y 2 l v I E F u d G V y a W 9 y X G 4 z M S 8 x M i 8 y M D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T I p I C g 4 K S 9 B d X R v U m V t b 3 Z l Z E N v b H V t b n M x L n t D w 7 N k a W d v I G R h X G 5 D b 2 5 0 Y S w w f S Z x d W 9 0 O y w m c X V v d D t T Z W N 0 a W 9 u M S 9 U Y W J s Z T A x O C A o U G F n Z S A x M i k g K D g p L 0 F 1 d G 9 S Z W 1 v d m V k Q 2 9 s d W 1 u c z E u e 0 R l c 2 N y a c O n w 6 N v I G R h I E N v b n R h L D F 9 J n F 1 b 3 Q 7 L C Z x d W 9 0 O 1 N l Y 3 R p b 2 4 x L 1 R h Y m x l M D E 4 I C h Q Y W d l I D E y K S A o O C k v Q X V 0 b 1 J l b W 9 2 Z W R D b 2 x 1 b W 5 z M S 5 7 V H J p b W V z d H J l I E F 0 d W F s X G 4 z M C 8 w N i 8 y M D I z L D J 9 J n F 1 b 3 Q 7 L C Z x d W 9 0 O 1 N l Y 3 R p b 2 4 x L 1 R h Y m x l M D E 4 I C h Q Y W d l I D E y K S A o O C k v Q X V 0 b 1 J l b W 9 2 Z W R D b 2 x 1 b W 5 z M S 5 7 R X h l c m P D r W N p b y B B b n R l c m l v c l x u M z E v M T I v M j A y M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x O C A o U G F n Z S A x M i k g K D g p L 0 F 1 d G 9 S Z W 1 v d m V k Q 2 9 s d W 1 u c z E u e 0 P D s 2 R p Z 2 8 g Z G F c b k N v b n R h L D B 9 J n F 1 b 3 Q 7 L C Z x d W 9 0 O 1 N l Y 3 R p b 2 4 x L 1 R h Y m x l M D E 4 I C h Q Y W d l I D E y K S A o O C k v Q X V 0 b 1 J l b W 9 2 Z W R D b 2 x 1 b W 5 z M S 5 7 R G V z Y 3 J p w 6 f D o 2 8 g Z G E g Q 2 9 u d G E s M X 0 m c X V v d D s s J n F 1 b 3 Q 7 U 2 V j d G l v b j E v V G F i b G U w M T g g K F B h Z 2 U g M T I p I C g 4 K S 9 B d X R v U m V t b 3 Z l Z E N v b H V t b n M x L n t U c m l t Z X N 0 c m U g Q X R 1 Y W x c b j M w L z A 2 L z I w M j M s M n 0 m c X V v d D s s J n F 1 b 3 Q 7 U 2 V j d G l v b j E v V G F i b G U w M T g g K F B h Z 2 U g M T I p I C g 4 K S 9 B d X R v U m V t b 3 Z l Z E N v b H V t b n M x L n t F e G V y Y 8 O t Y 2 l v I E F u d G V y a W 9 y X G 4 z M S 8 x M i 8 y M D I y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T c p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k t M D Z U M T g 6 N T M 6 N D Y u O T M 1 O D M y N 1 o i L z 4 8 R W 5 0 c n k g V H l w Z T 0 i R m l s b E N v b H V t b l R 5 c G V z I i B W Y W x 1 Z T 0 i c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x N y k g K D I p L 0 F 1 d G 9 S Z W 1 v d m V k Q 2 9 s d W 1 u c z E u e 0 N v b H V t b j E s M H 0 m c X V v d D s s J n F 1 b 3 Q 7 U 2 V j d G l v b j E v V G F i b G U w M T M g K F B h Z 2 U g M T c p I C g y K S 9 B d X R v U m V t b 3 Z l Z E N v b H V t b n M x L n t D b 2 x 1 b W 4 y L D F 9 J n F 1 b 3 Q 7 L C Z x d W 9 0 O 1 N l Y 3 R p b 2 4 x L 1 R h Y m x l M D E z I C h Q Y W d l I D E 3 K S A o M i k v Q X V 0 b 1 J l b W 9 2 Z W R D b 2 x 1 b W 5 z M S 5 7 Q 2 9 s d W 1 u M y w y f S Z x d W 9 0 O y w m c X V v d D t T Z W N 0 a W 9 u M S 9 U Y W J s Z T A x M y A o U G F n Z S A x N y k g K D I p L 0 F 1 d G 9 S Z W 1 v d m V k Q 2 9 s d W 1 u c z E u e 0 N v b H V t b j Q s M 3 0 m c X V v d D s s J n F 1 b 3 Q 7 U 2 V j d G l v b j E v V G F i b G U w M T M g K F B h Z 2 U g M T c p I C g y K S 9 B d X R v U m V t b 3 Z l Z E N v b H V t b n M x L n t D b 2 x 1 b W 4 1 L D R 9 J n F 1 b 3 Q 7 L C Z x d W 9 0 O 1 N l Y 3 R p b 2 4 x L 1 R h Y m x l M D E z I C h Q Y W d l I D E 3 K S A o M i k v Q X V 0 b 1 J l b W 9 2 Z W R D b 2 x 1 b W 5 z M S 5 7 Q 2 9 s d W 1 u N i w 1 f S Z x d W 9 0 O y w m c X V v d D t T Z W N 0 a W 9 u M S 9 U Y W J s Z T A x M y A o U G F n Z S A x N y k g K D I p L 0 F 1 d G 9 S Z W 1 v d m V k Q 2 9 s d W 1 u c z E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T M g K F B h Z 2 U g M T c p I C g y K S 9 B d X R v U m V t b 3 Z l Z E N v b H V t b n M x L n t D b 2 x 1 b W 4 x L D B 9 J n F 1 b 3 Q 7 L C Z x d W 9 0 O 1 N l Y 3 R p b 2 4 x L 1 R h Y m x l M D E z I C h Q Y W d l I D E 3 K S A o M i k v Q X V 0 b 1 J l b W 9 2 Z W R D b 2 x 1 b W 5 z M S 5 7 Q 2 9 s d W 1 u M i w x f S Z x d W 9 0 O y w m c X V v d D t T Z W N 0 a W 9 u M S 9 U Y W J s Z T A x M y A o U G F n Z S A x N y k g K D I p L 0 F 1 d G 9 S Z W 1 v d m V k Q 2 9 s d W 1 u c z E u e 0 N v b H V t b j M s M n 0 m c X V v d D s s J n F 1 b 3 Q 7 U 2 V j d G l v b j E v V G F i b G U w M T M g K F B h Z 2 U g M T c p I C g y K S 9 B d X R v U m V t b 3 Z l Z E N v b H V t b n M x L n t D b 2 x 1 b W 4 0 L D N 9 J n F 1 b 3 Q 7 L C Z x d W 9 0 O 1 N l Y 3 R p b 2 4 x L 1 R h Y m x l M D E z I C h Q Y W d l I D E 3 K S A o M i k v Q X V 0 b 1 J l b W 9 2 Z W R D b 2 x 1 b W 5 z M S 5 7 Q 2 9 s d W 1 u N S w 0 f S Z x d W 9 0 O y w m c X V v d D t T Z W N 0 a W 9 u M S 9 U Y W J s Z T A x M y A o U G F n Z S A x N y k g K D I p L 0 F 1 d G 9 S Z W 1 v d m V k Q 2 9 s d W 1 u c z E u e 0 N v b H V t b j Y s N X 0 m c X V v d D s s J n F 1 b 3 Q 7 U 2 V j d G l v b j E v V G F i b G U w M T M g K F B h Z 2 U g M T c p I C g y K S 9 B d X R v U m V t b 3 Z l Z E N v b H V t b n M x L n t D b 2 x 1 b W 4 3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T c p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S 0 w N l Q y M D o x M T o 0 N S 4 2 N j k x O D I 0 W i I v P j x F b n R y e S B U e X B l P S J G a W x s Q 2 9 s d W 1 u V H l w Z X M i I F Z h b H V l P S J z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3 K S A o M y k v Q X V 0 b 1 J l b W 9 2 Z W R D b 2 x 1 b W 5 z M S 5 7 Q 2 9 s d W 1 u M S w w f S Z x d W 9 0 O y w m c X V v d D t T Z W N 0 a W 9 u M S 9 U Y W J s Z T A x M y A o U G F n Z S A x N y k g K D M p L 0 F 1 d G 9 S Z W 1 v d m V k Q 2 9 s d W 1 u c z E u e 0 N v b H V t b j I s M X 0 m c X V v d D s s J n F 1 b 3 Q 7 U 2 V j d G l v b j E v V G F i b G U w M T M g K F B h Z 2 U g M T c p I C g z K S 9 B d X R v U m V t b 3 Z l Z E N v b H V t b n M x L n t D b 2 x 1 b W 4 z L D J 9 J n F 1 b 3 Q 7 L C Z x d W 9 0 O 1 N l Y 3 R p b 2 4 x L 1 R h Y m x l M D E z I C h Q Y W d l I D E 3 K S A o M y k v Q X V 0 b 1 J l b W 9 2 Z W R D b 2 x 1 b W 5 z M S 5 7 Q 2 9 s d W 1 u N C w z f S Z x d W 9 0 O y w m c X V v d D t T Z W N 0 a W 9 u M S 9 U Y W J s Z T A x M y A o U G F n Z S A x N y k g K D M p L 0 F 1 d G 9 S Z W 1 v d m V k Q 2 9 s d W 1 u c z E u e 0 N v b H V t b j U s N H 0 m c X V v d D s s J n F 1 b 3 Q 7 U 2 V j d G l v b j E v V G F i b G U w M T M g K F B h Z 2 U g M T c p I C g z K S 9 B d X R v U m V t b 3 Z l Z E N v b H V t b n M x L n t D b 2 x 1 b W 4 2 L D V 9 J n F 1 b 3 Q 7 L C Z x d W 9 0 O 1 N l Y 3 R p b 2 4 x L 1 R h Y m x l M D E z I C h Q Y W d l I D E 3 K S A o M y k v Q X V 0 b 1 J l b W 9 2 Z W R D b 2 x 1 b W 5 z M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M y A o U G F n Z S A x N y k g K D M p L 0 F 1 d G 9 S Z W 1 v d m V k Q 2 9 s d W 1 u c z E u e 0 N v b H V t b j E s M H 0 m c X V v d D s s J n F 1 b 3 Q 7 U 2 V j d G l v b j E v V G F i b G U w M T M g K F B h Z 2 U g M T c p I C g z K S 9 B d X R v U m V t b 3 Z l Z E N v b H V t b n M x L n t D b 2 x 1 b W 4 y L D F 9 J n F 1 b 3 Q 7 L C Z x d W 9 0 O 1 N l Y 3 R p b 2 4 x L 1 R h Y m x l M D E z I C h Q Y W d l I D E 3 K S A o M y k v Q X V 0 b 1 J l b W 9 2 Z W R D b 2 x 1 b W 5 z M S 5 7 Q 2 9 s d W 1 u M y w y f S Z x d W 9 0 O y w m c X V v d D t T Z W N 0 a W 9 u M S 9 U Y W J s Z T A x M y A o U G F n Z S A x N y k g K D M p L 0 F 1 d G 9 S Z W 1 v d m V k Q 2 9 s d W 1 u c z E u e 0 N v b H V t b j Q s M 3 0 m c X V v d D s s J n F 1 b 3 Q 7 U 2 V j d G l v b j E v V G F i b G U w M T M g K F B h Z 2 U g M T c p I C g z K S 9 B d X R v U m V t b 3 Z l Z E N v b H V t b n M x L n t D b 2 x 1 b W 4 1 L D R 9 J n F 1 b 3 Q 7 L C Z x d W 9 0 O 1 N l Y 3 R p b 2 4 x L 1 R h Y m x l M D E z I C h Q Y W d l I D E 3 K S A o M y k v Q X V 0 b 1 J l b W 9 2 Z W R D b 2 x 1 b W 5 z M S 5 7 Q 2 9 s d W 1 u N i w 1 f S Z x d W 9 0 O y w m c X V v d D t T Z W N 0 a W 9 u M S 9 U Y W J s Z T A x M y A o U G F n Z S A x N y k g K D M p L 0 F 1 d G 9 S Z W 1 v d m V k Q 2 9 s d W 1 u c z E u e 0 N v b H V t b j c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x N i 0 x N y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N i 0 x N y k v V G F i b G U w M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N i 0 x N y k v Q 2 F i Z S V D M y V B N 2 F s a G 9 z J T I w U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E l M j A o U G F n Z S U y M D E 2 L T E 3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N y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N y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N y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N S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N S 0 x N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Q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Q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Q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0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0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0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1 J T I w K F B h Z 2 U l M j A x N C k l M j A o M i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1 J T I w K F B h Z 2 U l M j A x N C k l M j A o M i k v V G F i b G U w M T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1 J T I w K F B h Z 2 U l M j A x N C k l M j A o M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Q p J T I w K D M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Q p J T I w K D M p L 1 R h Y m x l M D E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Q p J T I w K D M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Q l M j A o U G F n Z S U y M D E 0 K S U y M C g y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Q l M j A o U G F n Z S U y M D E 0 K S U y M C g y K S 9 U Y W J s Z T A x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Q l M j A o U G F n Z S U y M D E 0 K S U y M C g y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2 J T I w K F B h Z 2 U l M j A x N S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2 J T I w K F B h Z 2 U l M j A x N S k v V G F i b G U w M T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2 J T I w K F B h Z 2 U l M j A x N S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U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U p L 1 R h Y m x l M D E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U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1 K S U y M C g y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1 K S U y M C g y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1 K S U y M C g y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S k l M j A o M y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S k l M j A o M y k v V G F i b G U w M T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S k l M j A o M y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i U y M C h Q Y W d l J T I w M T U p J T I w K D I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i U y M C h Q Y W d l J T I w M T U p J T I w K D I p L 1 R h Y m x l M D E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i U y M C h Q Y W d l J T I w M T U p J T I w K D I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I y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I y K S 9 U Y W J s Z T A x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I y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y M i k l M j A o M i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y M i k l M j A o M i k v V G F i b G U w M T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y M i k l M j A o M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i U y M C h Q Y W d l J T I w M T Q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i U y M C h Q Y W d l J T I w M T Q p L 1 R h Y m x l M D E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i U y M C h Q Y W d l J T I w M T Q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Y l M j A o U G F n Z S U y M D E 0 K S U y M C g y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Y l M j A o U G F n Z S U y M D E 0 K S U y M C g y K S 9 U Y W J s Z T A x N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Y l M j A o U G F n Z S U y M D E 0 K S U y M C g y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y N y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y N y k v V G F i b G U w M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y N y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j c p J T I w K D I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j c p J T I w K D I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j c p J T I w K D I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2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2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2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i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i k v V G F i b G U w M T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Y p J T I w K D I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Y p J T I w K D I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Y p J T I w K D I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2 K S U y M C g z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2 K S U y M C g z K S 9 U Y W J s Z T A x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2 K S U y M C g z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i k l M j A o M i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i k l M j A o M i k v V G F i b G U w M T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i k l M j A o M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J T I w K D I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J T I w K D I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J T I w K D I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N S 0 x N i k l M j A o M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J T I w K D M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J T I w K D M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J T I w K D M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N S 0 x N i k l M j A o M y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J T I w K D Q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J T I w K D Q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J T I w K D Q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N S 0 x N i k l M j A o N C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J T I w K D U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J T I w K D U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J T I w K D U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N S 0 x N i k l M j A o N S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L 1 R h Y m x l M D E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M S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M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J T I w K D I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J T I w K D I p L 1 R h Y m x l M D E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J T I w K D I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M S k l M j A o M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J T I w K D I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J T I w K D I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J T I w K D I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M i k l M j A o M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S U y M C h Q Y W d l J T I w O S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1 J T I w K F B h Z 2 U l M j A 5 K S 9 U Y W J s Z T A w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U l M j A o U G F n Z S U y M D k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Y l M j A o U G F n Z S U y M D E w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Y l M j A o U G F n Z S U y M D E w K S 9 U Y W J s Z T A w N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Y l M j A o U G F n Z S U y M D E w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z J T I w K F B h Z 2 U l M j A 5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M l M j A o U G F n Z S U y M D k p L 1 R h Y m x l M D A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y U y M C h Q Y W d l J T I w O S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C U y M C h Q Y W d l J T I w M T A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C U y M C h Q Y W d l J T I w M T A p L 1 R h Y m x l M D A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C U y M C h Q Y W d l J T I w M T A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Q l M j A o U G F n Z S U y M D g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C U y M C h Q Y W d l J T I w O C k v V G F i b G U w M D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0 J T I w K F B h Z 2 U l M j A 4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1 J T I w K F B h Z 2 U l M j A 5 K S U y M C g y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U l M j A o U G F n Z S U y M D k p J T I w K D I p L 1 R h Y m x l M D A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S U y M C h Q Y W d l J T I w O S k l M j A o M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J T I w K D M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J T I w K D M p L 1 R h Y m x l M D E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J T I w K D M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M S k l M j A o M y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J T I w K D M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J T I w K D M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J T I w K D M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M i k l M j A o M y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C U y M C h Q Y W d l J T I w M T A p J T I w K D I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C U y M C h Q Y W d l J T I w M T A p J T I w K D I p L 1 R h Y m x l M D A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C U y M C h Q Y W d l J T I w M T A p J T I w K D I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U l M j A o U G F n Z S U y M D E x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U l M j A o U G F n Z S U y M D E x K S 9 U Y W J s Z T A w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U l M j A o U G F n Z S U y M D E x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M S k l M j A o N C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M S k l M j A o N C k v V G F i b G U w M T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M S k l M j A o N C k v Q 2 F i Z S V D M y V B N 2 F s a G 9 z J T I w U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x K S U y M C g 0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M i 0 x M y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M i 0 x M y k v V G F i b G U w M T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M i 0 x M y k v Q 2 F i Z S V D M y V B N 2 F s a G 9 z J T I w U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y L T E z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M S k l M j A o N S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M S k l M j A o N S k v V G F i b G U w M T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M S k l M j A o N S k v Q 2 F i Z S V D M y V B N 2 F s a G 9 z J T I w U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x K S U y M C g 1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M i k l M j A o N C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M i k l M j A o N C k v V G F i b G U w M T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M i k l M j A o N C k v Q 2 F i Z S V D M y V B N 2 F s a G 9 z J T I w U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y K S U y M C g 0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M S k l M j A o N i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M S k l M j A o N i k v V G F i b G U w M T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M S k l M j A o N i k v Q 2 F i Z S V D M y V B N 2 F s a G 9 z J T I w U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x K S U y M C g 2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M i k l M j A o N S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M i k l M j A o N S k v V G F i b G U w M T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M i k l M j A o N S k v Q 2 F i Z S V D M y V B N 2 F s a G 9 z J T I w U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y K S U y M C g 1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0 J T I w K F B h Z 2 U l M j A 5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Q l M j A o U G F n Z S U y M D k p L 1 R h Y m x l M D A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C U y M C h Q Y W d l J T I w O S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S U y M C h Q Y W d l J T I w M T A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S U y M C h Q Y W d l J T I w M T A p L 1 R h Y m x l M D A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S U y M C h Q Y W d l J T I w M T A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x K S U y M C g 3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x K S U y M C g 3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x K S U y M C g 3 K S 9 D Y W J l J U M z J U E 3 Y W x o b 3 M l M j B Q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J T I w K D c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y K S U y M C g 2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y K S U y M C g 2 K S 9 U Y W J s Z T A x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y K S U y M C g 2 K S 9 D Y W J l J U M z J U E 3 Y W x o b 3 M l M j B Q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J T I w K D Y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x K S U y M C g 4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x K S U y M C g 4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x K S U y M C g 4 K S 9 D Y W J l J U M z J U E 3 Y W x o b 3 M l M j B Q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J T I w K D g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y K S U y M C g 3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y K S U y M C g 3 K S 9 U Y W J s Z T A x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y K S U y M C g 3 K S 9 D Y W J l J U M z J U E 3 Y W x o b 3 M l M j B Q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J T I w K D c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I l M j A o U G F n Z S U y M D I y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I l M j A o U G F n Z S U y M D I y K S 9 U Y W J s Z T A x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I l M j A o U G F n Z S U y M D I y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y M y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y M y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y M y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J T I w K D k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J T I w K D k p L 1 R h Y m x l M D E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J T I w K D k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M S k l M j A o O S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J T I w K D g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J T I w K D g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J T I w K D g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M i k l M j A o O C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y U y M C h Q Y W d l J T I w M T c p J T I w K D I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y U y M C h Q Y W d l J T I w M T c p J T I w K D I p L 1 R h Y m x l M D E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y U y M C h Q Y W d l J T I w M T c p J T I w K D I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3 K S U y M C g z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3 K S U y M C g z K S 9 U Y W J s Z T A x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3 K S U y M C g z K S 9 U a X B v J T I w Q W x 0 Z X J h Z G 8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k b i U A o p 4 Z H n 3 W Y X 1 G 3 k w 0 A A A A A A g A A A A A A A 2 Y A A M A A A A A Q A A A A p 2 M H u P F f y w Z d Y P f / u j W 7 H A A A A A A E g A A A o A A A A B A A A A D M 1 G W R x A 7 2 9 s d s e c H c V Y + W U A A A A L V 4 2 L T 7 H a f E l L x 8 X c f S K S M S G I t u / w l y l Q 9 X F V I I C 5 V r Y V M Y a + N A n 6 j 4 k w J f D q d W t O X f q l b x v Y C B 8 p k Y / k v 9 A B 3 b 0 A 5 K K m u q P R o 0 6 4 z k O f 8 J F A A A A B b u a 0 M e D l u t V g N n + z z f 8 H 9 4 K T h Q < / D a t a M a s h u p > 
</file>

<file path=customXml/itemProps1.xml><?xml version="1.0" encoding="utf-8"?>
<ds:datastoreItem xmlns:ds="http://schemas.openxmlformats.org/officeDocument/2006/customXml" ds:itemID="{157F0A71-8FCD-4664-97AF-A2209BA723A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IS</vt:lpstr>
      <vt:lpstr>BS</vt:lpstr>
      <vt:lpstr>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Gomes Trombini</dc:creator>
  <cp:keywords/>
  <dc:description/>
  <cp:lastModifiedBy>Tatiana Bastos Guedes</cp:lastModifiedBy>
  <cp:revision/>
  <dcterms:created xsi:type="dcterms:W3CDTF">2023-08-31T15:56:27Z</dcterms:created>
  <dcterms:modified xsi:type="dcterms:W3CDTF">2026-05-25T21:39:49Z</dcterms:modified>
  <cp:category/>
  <cp:contentStatus/>
</cp:coreProperties>
</file>