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rasset1.sharepoint.com/sites/Crdito/Shared Documents/05. Fundos/01. RBRR11/01. Relatório Mensal/2023.01/"/>
    </mc:Choice>
  </mc:AlternateContent>
  <xr:revisionPtr revIDLastSave="121" documentId="13_ncr:1_{33A396EE-74AF-4A45-ABED-C893DBFA711B}" xr6:coauthVersionLast="47" xr6:coauthVersionMax="47" xr10:uidLastSave="{6C551E5D-251E-49B9-BF24-358BED05E22A}"/>
  <workbookProtection workbookAlgorithmName="SHA-512" workbookHashValue="hGT3ucCZR+8lMfABDqmgr9Kcub91e4AqM7g6y29VFFi6Y8LYfMhTm2z4bWq19O6PaKZGzyhwoCHS1DW1w8ay7A==" workbookSaltValue="OQvL4koQIAp55kEh0TtmVQ==" workbookSpinCount="100000" lockStructure="1"/>
  <bookViews>
    <workbookView xWindow="-23148" yWindow="-108" windowWidth="23256" windowHeight="12576" xr2:uid="{1D24BC7B-CD6F-4A26-B7F2-4B34EA7193E5}"/>
  </bookViews>
  <sheets>
    <sheet name="Carteira de CRIs" sheetId="1" r:id="rId1"/>
    <sheet name="Resultado HG" sheetId="7" r:id="rId2"/>
    <sheet name="Sensibilidade" sheetId="8" r:id="rId3"/>
    <sheet name="aux" sheetId="9" state="hidden" r:id="rId4"/>
  </sheets>
  <externalReferences>
    <externalReference r:id="rId5"/>
    <externalReference r:id="rId6"/>
  </externalReferences>
  <definedNames>
    <definedName name="_xlnm._FilterDatabase" localSheetId="0" hidden="1">'Carteira de CRIs'!$B$6:$AA$49</definedName>
    <definedName name="feriado" localSheetId="1">[1]Feriado!$A$2:$A$937</definedName>
    <definedName name="feriado">[2]Feriado!$A$2:$A$589</definedName>
  </definedNames>
  <calcPr calcId="191029" calcMode="manual" calcCompleted="0" calcOnSave="0" concurrentManualCount="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9" l="1"/>
  <c r="I67" i="9" s="1"/>
  <c r="I47" i="9" a="1"/>
  <c r="I47" i="9" s="1"/>
  <c r="I53" i="9" s="1"/>
  <c r="B40" i="8" a="1"/>
  <c r="B40" i="8" s="1"/>
  <c r="D34" i="8"/>
  <c r="D31" i="8"/>
  <c r="D28" i="8"/>
  <c r="D27" i="8"/>
  <c r="D25" i="8"/>
  <c r="C21" i="8" a="1"/>
  <c r="C21" i="8" s="1"/>
  <c r="D18" i="8"/>
  <c r="C12" i="8"/>
  <c r="D13" i="8"/>
  <c r="D15" i="8"/>
  <c r="D14" i="8"/>
  <c r="D16" i="8"/>
  <c r="K55" i="9"/>
  <c r="J55" i="9"/>
  <c r="K54" i="9"/>
  <c r="J54" i="9"/>
  <c r="I54" i="9"/>
  <c r="K53" i="9"/>
  <c r="B28" i="8"/>
  <c r="B27" i="8"/>
  <c r="B20" i="8"/>
  <c r="B12" i="8"/>
  <c r="J66" i="9" l="1"/>
  <c r="I66" i="9" s="1"/>
  <c r="H66" i="9" s="1"/>
  <c r="D29" i="8"/>
  <c r="J65" i="9"/>
  <c r="J53" i="9"/>
  <c r="J58" i="9" s="1"/>
  <c r="J68" i="9"/>
  <c r="I68" i="9" s="1"/>
  <c r="H67" i="9"/>
  <c r="I55" i="9"/>
  <c r="I58" i="9" s="1"/>
  <c r="J64" i="9" l="1"/>
  <c r="I65" i="9"/>
  <c r="H65" i="9" s="1"/>
  <c r="K65" i="9" s="1"/>
  <c r="K66" i="9"/>
  <c r="K67" i="9"/>
  <c r="J69" i="9"/>
  <c r="I69" i="9" s="1"/>
  <c r="H68" i="9"/>
  <c r="K68" i="9" s="1"/>
  <c r="L65" i="9"/>
  <c r="L66" i="9"/>
  <c r="L67" i="9"/>
  <c r="L68" i="9" l="1"/>
  <c r="K100" i="9" s="1"/>
  <c r="K116" i="9" s="1"/>
  <c r="J63" i="9"/>
  <c r="I64" i="9"/>
  <c r="H64" i="9" s="1"/>
  <c r="L84" i="9"/>
  <c r="K84" i="9"/>
  <c r="L100" i="9"/>
  <c r="L116" i="9" s="1"/>
  <c r="L82" i="9"/>
  <c r="K82" i="9"/>
  <c r="L83" i="9"/>
  <c r="K83" i="9"/>
  <c r="L99" i="9"/>
  <c r="L115" i="9" s="1"/>
  <c r="K99" i="9"/>
  <c r="K115" i="9" s="1"/>
  <c r="L98" i="9"/>
  <c r="L114" i="9" s="1"/>
  <c r="K98" i="9"/>
  <c r="K114" i="9" s="1"/>
  <c r="L81" i="9"/>
  <c r="K81" i="9"/>
  <c r="J70" i="9"/>
  <c r="I70" i="9" s="1"/>
  <c r="H69" i="9"/>
  <c r="L97" i="9"/>
  <c r="L113" i="9" s="1"/>
  <c r="K97" i="9"/>
  <c r="K113" i="9" s="1"/>
  <c r="I63" i="9" l="1"/>
  <c r="H63" i="9" s="1"/>
  <c r="J62" i="9"/>
  <c r="K64" i="9"/>
  <c r="L64" i="9"/>
  <c r="K69" i="9"/>
  <c r="L69" i="9"/>
  <c r="J71" i="9"/>
  <c r="I71" i="9" s="1"/>
  <c r="H70" i="9"/>
  <c r="L80" i="9" l="1"/>
  <c r="K80" i="9"/>
  <c r="I62" i="9"/>
  <c r="H62" i="9" s="1"/>
  <c r="J61" i="9"/>
  <c r="K63" i="9"/>
  <c r="L63" i="9"/>
  <c r="L96" i="9"/>
  <c r="L112" i="9" s="1"/>
  <c r="K96" i="9"/>
  <c r="K112" i="9" s="1"/>
  <c r="L70" i="9"/>
  <c r="K70" i="9"/>
  <c r="H71" i="9"/>
  <c r="J72" i="9"/>
  <c r="I72" i="9" s="1"/>
  <c r="L101" i="9"/>
  <c r="L117" i="9" s="1"/>
  <c r="K101" i="9"/>
  <c r="K117" i="9" s="1"/>
  <c r="L85" i="9"/>
  <c r="K85" i="9"/>
  <c r="K62" i="9" l="1"/>
  <c r="L62" i="9"/>
  <c r="L95" i="9"/>
  <c r="L111" i="9" s="1"/>
  <c r="K95" i="9"/>
  <c r="K111" i="9" s="1"/>
  <c r="L79" i="9"/>
  <c r="K79" i="9"/>
  <c r="I61" i="9"/>
  <c r="H61" i="9" s="1"/>
  <c r="L86" i="9"/>
  <c r="K86" i="9"/>
  <c r="L102" i="9"/>
  <c r="K102" i="9"/>
  <c r="K118" i="9" s="1"/>
  <c r="K71" i="9"/>
  <c r="L71" i="9"/>
  <c r="J73" i="9"/>
  <c r="I73" i="9" s="1"/>
  <c r="H72" i="9"/>
  <c r="L61" i="9" l="1"/>
  <c r="K61" i="9"/>
  <c r="L94" i="9"/>
  <c r="L110" i="9" s="1"/>
  <c r="K94" i="9"/>
  <c r="K110" i="9" s="1"/>
  <c r="L78" i="9"/>
  <c r="K78" i="9"/>
  <c r="K72" i="9"/>
  <c r="L72" i="9"/>
  <c r="L103" i="9"/>
  <c r="L119" i="9" s="1"/>
  <c r="K103" i="9"/>
  <c r="J74" i="9"/>
  <c r="I12" i="8" s="1" a="1"/>
  <c r="I12" i="8" s="1"/>
  <c r="H73" i="9"/>
  <c r="L87" i="9"/>
  <c r="K87" i="9"/>
  <c r="L118" i="9"/>
  <c r="I74" i="9" l="1"/>
  <c r="H74" i="9" s="1"/>
  <c r="H92" i="9" s="1" a="1"/>
  <c r="H92" i="9" s="1"/>
  <c r="L77" i="9"/>
  <c r="K77" i="9"/>
  <c r="K93" i="9"/>
  <c r="K109" i="9" s="1"/>
  <c r="L93" i="9"/>
  <c r="L109" i="9" s="1"/>
  <c r="L88" i="9"/>
  <c r="K88" i="9"/>
  <c r="K73" i="9"/>
  <c r="L73" i="9"/>
  <c r="K119" i="9"/>
  <c r="L104" i="9"/>
  <c r="K104" i="9"/>
  <c r="K120" i="9" s="1"/>
  <c r="H76" i="9" l="1" a="1"/>
  <c r="H76" i="9" s="1"/>
  <c r="K74" i="9"/>
  <c r="H108" i="9" a="1"/>
  <c r="H108" i="9" s="1"/>
  <c r="L74" i="9"/>
  <c r="L106" i="9" s="1"/>
  <c r="L122" i="9" s="1"/>
  <c r="L12" i="8" s="1" a="1"/>
  <c r="L12" i="8" s="1"/>
  <c r="L105" i="9"/>
  <c r="L121" i="9" s="1"/>
  <c r="K105" i="9"/>
  <c r="K121" i="9" s="1"/>
  <c r="L90" i="9"/>
  <c r="K90" i="9"/>
  <c r="L120" i="9"/>
  <c r="L89" i="9"/>
  <c r="K89" i="9"/>
  <c r="K106" i="9" l="1"/>
  <c r="K12" i="8" a="1"/>
  <c r="K12" i="8" s="1"/>
  <c r="K122" i="9" l="1"/>
  <c r="O12" i="8" s="1" a="1"/>
  <c r="O12" i="8" s="1"/>
  <c r="N12" i="8" a="1"/>
  <c r="N1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<sst xmlns="http://schemas.openxmlformats.org/spreadsheetml/2006/main" count="610" uniqueCount="302">
  <si>
    <t>RBRR11 - FII RBR Rendimento High Grade</t>
  </si>
  <si>
    <t>Planilha de Fundamentos</t>
  </si>
  <si>
    <t>Ativo</t>
  </si>
  <si>
    <t>Descrição da Operação</t>
  </si>
  <si>
    <t>Rating RBR</t>
  </si>
  <si>
    <t>Setor Imobiliário</t>
  </si>
  <si>
    <t>% PL</t>
  </si>
  <si>
    <t>Indexador</t>
  </si>
  <si>
    <t>Taxa Investida (% a.a.)</t>
  </si>
  <si>
    <t>Vencimento</t>
  </si>
  <si>
    <t>LTV</t>
  </si>
  <si>
    <t>Cód. CETIP</t>
  </si>
  <si>
    <t>Tipo de Oferta</t>
  </si>
  <si>
    <t>Emissor</t>
  </si>
  <si>
    <t>Estratégia</t>
  </si>
  <si>
    <t>% da Garantia no Estado de SP</t>
  </si>
  <si>
    <t>% da Garantia em São Paulo Capital</t>
  </si>
  <si>
    <t>% da Garantia em Localização Prime</t>
  </si>
  <si>
    <t>CRI Patrifarm</t>
  </si>
  <si>
    <t>CRI BTG Malls</t>
  </si>
  <si>
    <t>CRI GPA II</t>
  </si>
  <si>
    <t>CRI JFL</t>
  </si>
  <si>
    <t>CRI Tecnisa</t>
  </si>
  <si>
    <t>CRI HBR</t>
  </si>
  <si>
    <t>CRI JSL I</t>
  </si>
  <si>
    <t>CRI JSL II</t>
  </si>
  <si>
    <t>CRI MRV</t>
  </si>
  <si>
    <t>CRI Creditas</t>
  </si>
  <si>
    <t>CRI GT - Banco do Brasil</t>
  </si>
  <si>
    <t>Operação lastreada na sede administrativa do Banco do Brasil em Brasília, consolidada no empreendimento AAA Green Towers. Conta com a cessão fiduciária do contrato de locação e alienação fiduciária de 25 mil m² do ativo.</t>
  </si>
  <si>
    <t>A+</t>
  </si>
  <si>
    <t>Laje Corporativa</t>
  </si>
  <si>
    <t>IGPM+</t>
  </si>
  <si>
    <t>Corporativo</t>
  </si>
  <si>
    <t>Core</t>
  </si>
  <si>
    <t>CRI Faria Lima Business Center</t>
  </si>
  <si>
    <t>A operação é lastreada em ativo com localização estratégica na Avenida Faria Lima, importante polo empresarial da cidade de São Paulo, a aproximadamente 5 minutos (a pé) da estação Faria Lima do metrô. O CRI conta com cessão fiduciária dos contratos de locação e alienação fiduciária de 100% do empreendimento.</t>
  </si>
  <si>
    <t>AA-</t>
  </si>
  <si>
    <t>Galpão Logístico</t>
  </si>
  <si>
    <t>IPCA+</t>
  </si>
  <si>
    <t>Residencial</t>
  </si>
  <si>
    <t>CDI+</t>
  </si>
  <si>
    <t>CRI Cabreúva</t>
  </si>
  <si>
    <t>AA</t>
  </si>
  <si>
    <t>Vert</t>
  </si>
  <si>
    <t>CRI Setin SP</t>
  </si>
  <si>
    <t>Operação de crédito com a empresa patrimonial Patrifarm, com garantia em imóveis localizados em Minas Gerais, sendo a principal delas um galpão logístico em Contagem. Conta com a cessão fiduciária de recebíveis de imóveis comerciais e shoppings.</t>
  </si>
  <si>
    <t>BBB</t>
  </si>
  <si>
    <t>A</t>
  </si>
  <si>
    <t>True Sec</t>
  </si>
  <si>
    <t>Habitasec</t>
  </si>
  <si>
    <t>Emissão utilizada para financiar a aquisição de um portfólio de 7 shoppings da BR Malls pelo FII BTG Malls. Conta com o Ilha Plaza Shopping, no Rio de Janeiro, e com o Shopping Contagem, na região metropolitana de Belo Horizonte, como garantias da operação.</t>
  </si>
  <si>
    <t>Shopping Center</t>
  </si>
  <si>
    <t>CRI JCC Iguatemi Fortaleza</t>
  </si>
  <si>
    <t>Operação de crédito lastreada no shopping Iguatemi Fortaleza, tendo como garantia a cessão fiduciária dos dividendos, alienação fiduciária parcial do ativo, garantia corporativa da holding proprietária do shopping, além de subordinação de 10%.</t>
  </si>
  <si>
    <t>Possui como lastro unidades residenciais do empreendimento V-House Faria Lima, de 26 a 220 m², localizadas no bairro de Pinheiros, endereço  nobre da cidade de São Paulo. Os apartamentos são destinados para locação, sendo o fluxo pulverizado dos aluguéis utilizado para o pagamento de juros e amortização da operação.</t>
  </si>
  <si>
    <t>Tático</t>
  </si>
  <si>
    <t>Operação para financiar a aquisição de duas lojas, localizadas em regiões estratégicas como a Loja Pão de Açúcar no bairro Tatuapé, São Paulo/SP e a loja Extra em Guarulhos/SP. A operação conta com alienação fiduciária dos imóveis e tem como lastro os contratos de locação atípico cujo locatário é o Grupo Pão de Açúcar.</t>
  </si>
  <si>
    <t>Operação de crédito com Tecnisa, incorporadora de capital aberto com foco em empreendimentos residenciais na região metropolitana de São Paulo. O CRI é lastreado em uma Debênture emitida pela Tecnisa S.A.</t>
  </si>
  <si>
    <t>A operação tem como lastro ativos locados para a Decathlon, Pirelli e Tim, de imóveis localizados em Barueri e Santo André. O CRI conta com alienação ficuciária dos imóveis objetos das locações, cessão fiduciária dos aluguéis e garantia corporativa. A HBR Realty é a empresa de investimentos patrimoniais dos sócios da Helbor.</t>
  </si>
  <si>
    <t>Operação lastreada em contratos de locação da Ribeira Empreendimentos, empresa patrimonial controlada pela SIMPAR S.A., holding controladora da JSL. Conta com alienação fiduciária e cessão de recebíveis de diversos imóveis, sendo o principal o condomínio logístico de 30.000m² localizado na Rod. Ayrton Senna e locado para a JSL.</t>
  </si>
  <si>
    <t>A-</t>
  </si>
  <si>
    <t>Outros</t>
  </si>
  <si>
    <t>Operação de crédito com a Rede D'or São Luiz, maior rede integrada de cuidados em saúde do Brasil. O CRI é lastreado em uma Debênture emitida pela Rede D'or São Luiz S.A..</t>
  </si>
  <si>
    <t>BBB+</t>
  </si>
  <si>
    <t>Operação de crédito com MRV, incorporadora de capital aberto com foco em empreendimentos residenciais de médio e baixo padrão. O CRI é lastreado em uma Debênture emitida pela MRV Engenharia e Participações S.A.</t>
  </si>
  <si>
    <t>Operação lastreada em contratos de financiamento na modalidade Home Equity originados pela Creditas, responsável também pela cobrança dos créditos. Possui como garantia a alienação fiduciária de todos os imóveis envolvidos no CRI.</t>
  </si>
  <si>
    <t>CRI BRF</t>
  </si>
  <si>
    <t>Operação de antecipação de contrato de locação átipico de galpão da GLP, locado para a BR Foods. O galpão possui uma localização estratégica, na cidade de Embu das Artes, em São Paulo. O fluxo de aluguéis é utilizado para realização do pagamento de principal e juros da operação. Além disso, conta com alienação fiduciária do galpão como garantia da operação.</t>
  </si>
  <si>
    <t>Barigui</t>
  </si>
  <si>
    <t>Planilha de Fundamentos | Resultado</t>
  </si>
  <si>
    <t>Cotas Emitidas (Início Mês)</t>
  </si>
  <si>
    <t>Cotas Emitidas (Fim Mês)</t>
  </si>
  <si>
    <t>Cota a Mercado</t>
  </si>
  <si>
    <t>PL / cota</t>
  </si>
  <si>
    <t>DRE Gerencial</t>
  </si>
  <si>
    <t>Resultado RBRR11 (R$)</t>
  </si>
  <si>
    <t>12M</t>
  </si>
  <si>
    <t>Início</t>
  </si>
  <si>
    <t>(+) Receitas</t>
  </si>
  <si>
    <t>Juros (CRI)</t>
  </si>
  <si>
    <t>Correção Monetária (CRI)</t>
  </si>
  <si>
    <t>LCI</t>
  </si>
  <si>
    <t>Dividendos de FIIs</t>
  </si>
  <si>
    <t>Liquidez</t>
  </si>
  <si>
    <t>(-) Despesas</t>
  </si>
  <si>
    <t>Despesas do Fundo</t>
  </si>
  <si>
    <r>
      <t xml:space="preserve">(=) FFO | </t>
    </r>
    <r>
      <rPr>
        <b/>
        <i/>
        <sz val="10"/>
        <color rgb="FF585856"/>
        <rFont val="Open Sans"/>
        <family val="2"/>
      </rPr>
      <t>Funds from Operations</t>
    </r>
  </si>
  <si>
    <t>Receitas Não-Recorrentes CRIs</t>
  </si>
  <si>
    <t>Receitas Não-Recorrentes FIIs (Líquido IR)</t>
  </si>
  <si>
    <t>Despesas Não-Recorrentes</t>
  </si>
  <si>
    <t>(=) Resultado Final</t>
  </si>
  <si>
    <t>Reservas</t>
  </si>
  <si>
    <t>Rendimento Novos Cotistas</t>
  </si>
  <si>
    <t>(=) Rendimento Distribuído</t>
  </si>
  <si>
    <t>Rendimento / Cota (R$ / cota)</t>
  </si>
  <si>
    <r>
      <rPr>
        <i/>
        <sz val="10"/>
        <color rgb="FF585856"/>
        <rFont val="Open Sans"/>
        <family val="2"/>
      </rPr>
      <t>Dividend Yield</t>
    </r>
    <r>
      <rPr>
        <sz val="10"/>
        <color rgb="FF585856"/>
        <rFont val="Open Sans"/>
        <family val="2"/>
      </rPr>
      <t xml:space="preserve"> (Anualizado)</t>
    </r>
  </si>
  <si>
    <t>Abertura da Distribuição</t>
  </si>
  <si>
    <t>Receita CRIs</t>
  </si>
  <si>
    <t>Receita FIIs + Liquidez</t>
  </si>
  <si>
    <t>Receitas Não-Recorrentes</t>
  </si>
  <si>
    <t>Total Distribuído</t>
  </si>
  <si>
    <t>Operação lastreada em contrato de locação com uma rede varejista, de capital aberto, referência no setor que atua e com sólida posição financeira e qualidade de crédito. A operação também conta com a alienação fiduciária do imóvel locado: um galpão logístico AAA localizado na região de Cabreúva – SP. Operação com LTV de 38%.</t>
  </si>
  <si>
    <t>CRI GE Barueri</t>
  </si>
  <si>
    <t>Operação de financiamento à aquisição de um centro logístico locado majoritariamente para a multinacional GE Brasil (General Eletric), localizado na cidade de Barueri/SP, à 40km da capital. A operação conta com alienação fiduciária do imóvel e cessão fiduciária dos contratos de locação do ativo.</t>
  </si>
  <si>
    <t>CRI Rede D'or 2</t>
  </si>
  <si>
    <t>CRI Share Pinheiros</t>
  </si>
  <si>
    <t>Operação de crédito para aquisição de terreno e desenvolvimento de um empreendimento residencial para renda com a Share Student Living, focado nos estudantes da Faculdade de Medicina da USP (FMUSP). O empreendimento está localizado em um endereço nobre, no bairro de Pinheiros, posicionado próximo ao metrô (estações Oscar Freire e Clínicas) e a 500m da FMUSP. O projeto terá 6.500m² de área privativa com garantia de entrega pela Even Construtora e Incorporadora S.A.. O CRI conta com alienação fiduciária do imóvel, cessão fiduciária dos recebíveis, fundo de reserva e fundo de despesas.</t>
  </si>
  <si>
    <t>CRI Bem Brasil</t>
  </si>
  <si>
    <t>Operação de crédito com a Bem Brasil, um dos maiores produtores de batata congelada do mundo. Em 2020 foi responsável por 40% do market share do mercado brasileiro. O CRI é lastreado em uma Debênture emitida pela grupo e conta com fiança dos sócios.</t>
  </si>
  <si>
    <t>BBB-</t>
  </si>
  <si>
    <t>CRI Pátio Malzoni</t>
  </si>
  <si>
    <t>CRI JK Financial Center</t>
  </si>
  <si>
    <t>Operação lastreada em Contrato de Compra e Venda para aquisição de lajes corporativas pelo Fundo Imobiliário Rio Bravo Renda Corporativa (RCRB11). Trata-se de edifício AAA, com certificação  LEED Gold, que está localizado em endereço prime da São Paulo na Av. Pres. Juscelino Kubistchek. O CRI possui alienação fiduciária das lajes com LTV de 75%, cessão fiduciária dos recebíveis de locação e fundos de reserva e despesas.</t>
  </si>
  <si>
    <t>Operação de crédito para aquisição e retrofit de um projeto residencial performado localizado no bairro de Pinheiros em São Paulo. A devedora, Yuca, é pioneira no segmento de coliving.  A operação conta com alienação fiduciária do terreno, alienação fiduciária de quotas da SPE, cessão fiduciária de futuros direitos creditórios, aval e fundos de reserva e despesas.</t>
  </si>
  <si>
    <t>Opea</t>
  </si>
  <si>
    <t>Virgo</t>
  </si>
  <si>
    <t>Operação de crédito para financiamento à aquisição de lajes corporativas em Edifíco AAA, Patio Malzoni, localizado na Av. Faria Lima. A operação possui como garantias a alienação fiduciária do imóvel, fundo de reserva e cessão fiduciária dos contratos de locação com inquilinos com sólida posição financeira e qualidade de crédito, tal qual Google, Casa dos Ventos e Planner.</t>
  </si>
  <si>
    <t>Operação de crédito para financiamento à aquisição de 100% da sede da Globo em São Paulo. Localizado em região prime, o imóvel AAA foi adquirido pelo valor de 522 MM e está sob alienação fiduciária para a operação, de forma que o LTV da dívida encontra-se em 65%. Além disso, o CRI conta com o fluxo de recebíveis do contrato atípico de locação com a Globo. Uma das empresas mais tradicionais do Brasil, que oferece com baixo risco de crédito e recebeu Rating AAA pela Fitch.</t>
  </si>
  <si>
    <t>CRI MRV III</t>
  </si>
  <si>
    <t>ISEC</t>
  </si>
  <si>
    <t>Taxa MTM
(% a.a.)</t>
  </si>
  <si>
    <t>Montante MTM (R$)</t>
  </si>
  <si>
    <t>*pode incluir o investimento no CRI por outros veículos geridos pela RBR</t>
  </si>
  <si>
    <t>Locação Mult.</t>
  </si>
  <si>
    <t>CRI JFL Jardim Faria Lima</t>
  </si>
  <si>
    <t>O CRI JFL Jardim Faria Lima tem como garantia unidades residenciais no empreendimento Jardim Faria Lima, projeto de alto padrão localizado em 
endereço nobre da cidade de São Paulo, entre a Avenida Rebouças e Rua Henrique Monteiro, próximo a Av Faria Lima. Além disso, a operação 
conta com CF de Direitos Creditórios, fiança da holding, sócios e fundos de reserva e despesas. A empresa realiza o desenvolvimento imobiliário, aquisição e gestão de imóveis para locação residencial de alto padrão.</t>
  </si>
  <si>
    <t>CRI Rede Globo</t>
  </si>
  <si>
    <t>CRI Lindenberg</t>
  </si>
  <si>
    <t>O CRI Lindenberg é uma operação de antecipação de resultado de três empreendimentos do grupo, localizados no Itaim Bibi (São Paulo), Vila Mariana (São Paulo) e Cambui (Campinas). Todos empreendimentos já foram lançados, possuem um alto percentual de vendas e também já iniciaram obras. A Lindenberg é um incorporadora tradicional, com atuação desde 1954, com foco de produtos para o público média e alta renda. A operação conta com Alienação Fiduciária de participação da Lindenberg nas SPEs, cessão fiduciária do resultado dos projetos, fiança da holding e de sua controladora e fundos de reserva e despesas.</t>
  </si>
  <si>
    <t>Carteira Pulv.</t>
  </si>
  <si>
    <t>Participação do Fundo no CRI</t>
  </si>
  <si>
    <t>CRI Log IV</t>
  </si>
  <si>
    <t>Operação de crédito com Log Comercial Properties, empresa de capital aberto com foco em empreendimentos logísticos AAA. O CRI é lastreado em uma Debênture emitida pela Log Commercial Properties e participações S.A.</t>
  </si>
  <si>
    <t>Montante
Curva (R$)</t>
  </si>
  <si>
    <t>Participação da
RBR no CRI*</t>
  </si>
  <si>
    <t>Duration
(anos)</t>
  </si>
  <si>
    <t>N/A</t>
  </si>
  <si>
    <t>Quantidade Emitida</t>
  </si>
  <si>
    <t>Quantidade Integralizada</t>
  </si>
  <si>
    <t>Posição do Fundo</t>
  </si>
  <si>
    <t>Operação de aquisição de terrenos localizados em regiões estratégicas de São Paulo – Rua Pamplona no bairro Jardins e Rua Vergueiro no bairro Vila Mariana. A operação conta com garantia de alienação fiduciária dos terrenos, alienação fiduciária da quotas das SPE´s e garantia corporativa da Setin.</t>
  </si>
  <si>
    <t>CRI CD Guarulhos</t>
  </si>
  <si>
    <t>Operação lastreada em contrato de locação de uma rede de supermercados, com forte atuação  em São Paulo - SP e cidades do interior. A operação também conta com a alienação fiduciária do centro de distribuição do grupo: um galpão logístico com localização estratégica na  Rod. Presidente Dutra, região de Guarulhos –SP.</t>
  </si>
  <si>
    <t>CRI Brookfield IPCA</t>
  </si>
  <si>
    <t>Operação de crédito para aquisição de lajes corporativas em “imóveis alvo” de alto padrão bem localizados principalmente em São Paulo – SP e outras capitais. A operação possui como garantias a alienação fiduciária destes imóveis, alienação de cotas de FIIs proprietários e cessão fiduciária dos contratos de locação.</t>
  </si>
  <si>
    <t>CRI Direcional II</t>
  </si>
  <si>
    <t>Operação de crédito "Social Bond" com a Direcional. Incorporadora de capital aberto referência em empreendimentos residenciais do Programa Casa Verde e Amarela. O CRI é lastreado em uma Debênture emitida pela Direcional Engenharia S.A. Por meio do método Social Bond Princiles a Sitawi classificou a operação como Social Bond devido a destinação dos recursos estritamente a projetos de cunho social.</t>
  </si>
  <si>
    <t>CRI Leroy II</t>
  </si>
  <si>
    <t>Operação de antecipação de locação com o fundo logístico XP Log, lastreada em contrato de aluguel (contrato BTS) de um galpão logístico em Cajamar-SP com a empresa Leroy Merlin. O CRI conta com Alienação fiduciária do Imóvel AAA em garantia (LTV 50%) e cessão fiduciária dos recebíveis do contrato de locação. A operação recebeu um certificado de Green Bond pela consultoria especializada Resultante.</t>
  </si>
  <si>
    <t>CRI Leroy I</t>
  </si>
  <si>
    <t>CRI Mateus</t>
  </si>
  <si>
    <t>Operação coorporativa com o Grupo Mateus, um dos maiores varejistas do nordeste. Operação tem como foco financiar parte do plano de expanção do grupo.</t>
  </si>
  <si>
    <t>BB+</t>
  </si>
  <si>
    <t>Operação de aquisição de terreno localizado na Rua Leopoldo Couto de Magalhães Júnior, a 100m da Av. Faria Lima, no bairro Itaim Bibi em São Paulo. A operação conta com alienação fiduciária do imóvel onde está sendo desenvolvido um empreendimento comercial pela incorporadora AMY em conjunto com 2 grandes investidores patrimonialistas.</t>
  </si>
  <si>
    <t>CRI Brookfield JK IPCA</t>
  </si>
  <si>
    <t>CRI Brookfield JK CDI</t>
  </si>
  <si>
    <t>CRI Yuca Pinheiros</t>
  </si>
  <si>
    <t>Operação de crédito para financiamento à aquisição de 20% da Torre B do Complexo do JK Iguatemi. O CRI conta com o fluxo de recebíveis dos aluguéis da Johnson &amp; Johnson e outros quatro players. A operação possui como garantia a alienação fiduciária, cessão fiduciária dos contratos de locação e fundos de reserva e despesas.</t>
  </si>
  <si>
    <t>CRI Carteira MRV III (Serie I)</t>
  </si>
  <si>
    <t>Operação de cessão de fluxo de recebíveis de carteira da MRV. O CRI conta com robusta estrutura de garantias para suportar eventuais inadimplências na carteira, que inclui relevante fundo de reserva e cobertura adicional segurada.</t>
  </si>
  <si>
    <t>CRI Carteira MRV III (Serie II)</t>
  </si>
  <si>
    <t>22G1234008</t>
  </si>
  <si>
    <t>ICVM 476</t>
  </si>
  <si>
    <t>22L1086426</t>
  </si>
  <si>
    <t>21K0915478</t>
  </si>
  <si>
    <t>19L0907949</t>
  </si>
  <si>
    <t>22L1086421</t>
  </si>
  <si>
    <t>22B0939885</t>
  </si>
  <si>
    <t>21D0698165</t>
  </si>
  <si>
    <t>19L0907914</t>
  </si>
  <si>
    <t>21F0001447</t>
  </si>
  <si>
    <t>22G1234007</t>
  </si>
  <si>
    <t>22L1198359</t>
  </si>
  <si>
    <t>21D0524815</t>
  </si>
  <si>
    <t>21I0931497</t>
  </si>
  <si>
    <t>22L1198360</t>
  </si>
  <si>
    <t>19E0299199</t>
  </si>
  <si>
    <t>22A0695877</t>
  </si>
  <si>
    <t>19H0000001</t>
  </si>
  <si>
    <t>22K0075397</t>
  </si>
  <si>
    <t>19I0737680</t>
  </si>
  <si>
    <t>22C0951176</t>
  </si>
  <si>
    <t>21L0143115</t>
  </si>
  <si>
    <t>19H0221304</t>
  </si>
  <si>
    <t>22G0282285</t>
  </si>
  <si>
    <t>22G0747620</t>
  </si>
  <si>
    <t>21I0605705</t>
  </si>
  <si>
    <t>20A0977074</t>
  </si>
  <si>
    <t>19G0228153</t>
  </si>
  <si>
    <t>22C1362141</t>
  </si>
  <si>
    <t>ICVM 400</t>
  </si>
  <si>
    <t>22F0009804</t>
  </si>
  <si>
    <t>20A0977906</t>
  </si>
  <si>
    <t>22C0509641</t>
  </si>
  <si>
    <t>22B0006022</t>
  </si>
  <si>
    <t>21B0544455</t>
  </si>
  <si>
    <t>20A0978038</t>
  </si>
  <si>
    <t>20L0687133</t>
  </si>
  <si>
    <t>21D0862572</t>
  </si>
  <si>
    <t>21D0001232</t>
  </si>
  <si>
    <t>18F0879525</t>
  </si>
  <si>
    <t>17K0150400</t>
  </si>
  <si>
    <t>CRI Union Faria Lima II</t>
  </si>
  <si>
    <t>Tipo de Risco</t>
  </si>
  <si>
    <t>CRI Helbor Haddock Lobo</t>
  </si>
  <si>
    <t>22L1467751</t>
  </si>
  <si>
    <t>ICVM 160</t>
  </si>
  <si>
    <t>23A1407158</t>
  </si>
  <si>
    <t>CRI Yuny</t>
  </si>
  <si>
    <t>Operação de crédito para antecipação de resultados de 6 empreendimentos da Yuny, todos em desenvolvimento e localizados em São Paulo. A empresa tem sólida experiência no mercado residencial há 25 anos e tem mais de 84 empreendimentos já entregues. A operação conta com alienação fiduciária de quotas e cessão fiduciária de dividendos dos projetos, além de fiança da empresa e dos sócios.</t>
  </si>
  <si>
    <t>21L1281680</t>
  </si>
  <si>
    <t>A operação conta com Alienação Fiduciaria de Imóvel, visitas ao ativo garantia e monitoramento de evolução de obra. A empresa realiza o desenvolvimento imobiliário, aquisição e gestão de imóveis para locação residencial.</t>
  </si>
  <si>
    <t xml:space="preserve">                           -</t>
  </si>
  <si>
    <t>-</t>
  </si>
  <si>
    <t>Tabelas de Sensibilidade do Retorno da Carteira de CRI</t>
  </si>
  <si>
    <t>Disclaimer
* As tabelas apresentadas a seguir, são referentes apenas à rentabilidade da carteira de CRI e não consideram a alocação em caixa, FIIs e outros.</t>
  </si>
  <si>
    <t>Taxa equivalente* da carteira
de CRI em IPCA+</t>
  </si>
  <si>
    <t>Taxa equivalente* da carteira
de CRI em CDI+</t>
  </si>
  <si>
    <t>Preço Mercado</t>
  </si>
  <si>
    <t>Carteira CRI
(IPCA+)</t>
  </si>
  <si>
    <t>Carteira CRI (IPCA+)
(-) Tx Adm.</t>
  </si>
  <si>
    <t>Carteira CRI
(CDI+)</t>
  </si>
  <si>
    <t>Carteira CRI (CDI+)
(-) Tx Adm.</t>
  </si>
  <si>
    <t/>
  </si>
  <si>
    <t>Alocação em CRI (%PL)</t>
  </si>
  <si>
    <t>Alocação CRIs CDI (% PL)</t>
  </si>
  <si>
    <t>Alocação CRIs IPCA (%PL)</t>
  </si>
  <si>
    <t>Alocação em Caixa</t>
  </si>
  <si>
    <t>Cota Mercado (31/01)</t>
  </si>
  <si>
    <t>Aquisição</t>
  </si>
  <si>
    <t>MTM</t>
  </si>
  <si>
    <t>CRIs CDI+</t>
  </si>
  <si>
    <t>CRIs IPCA+</t>
  </si>
  <si>
    <t>Duration (Carteira)</t>
  </si>
  <si>
    <t>Cota PL (31/01)</t>
  </si>
  <si>
    <t>Ágio / Deságio sobre PL</t>
  </si>
  <si>
    <t>¹ Tx. Adm considera taxa de administração e taxa de gestão</t>
  </si>
  <si>
    <t>Último DY Anualizado</t>
  </si>
  <si>
    <t>(sobre cota a mercado)</t>
  </si>
  <si>
    <t>A seguir é possível fazer o input de premissas como preferir. Note que é necessário recalcular a planilha para observar os resultados.
As nossas premissas seguem a metodologia explicada abaixo.</t>
  </si>
  <si>
    <t>Premissas - Input</t>
  </si>
  <si>
    <t>Premissas</t>
  </si>
  <si>
    <t>CDI +</t>
  </si>
  <si>
    <t>CDI</t>
  </si>
  <si>
    <t>IPCA +</t>
  </si>
  <si>
    <t>IPCA</t>
  </si>
  <si>
    <t>IGPM +</t>
  </si>
  <si>
    <t>IGPM</t>
  </si>
  <si>
    <t>Dados Cota</t>
  </si>
  <si>
    <t xml:space="preserve"> (31/01)</t>
  </si>
  <si>
    <t>Data Ref</t>
  </si>
  <si>
    <t>input manual todo mês</t>
  </si>
  <si>
    <t>Cota PL</t>
  </si>
  <si>
    <t>Cota Mercado</t>
  </si>
  <si>
    <t>DY Últimos 12 meses (sobre cota a mercado)</t>
  </si>
  <si>
    <t>Último DY Anualizado (sobre cota a mercado)</t>
  </si>
  <si>
    <t>Taxa Adm</t>
  </si>
  <si>
    <t>Taxa Gest</t>
  </si>
  <si>
    <t>Taxa Adm + Gest</t>
  </si>
  <si>
    <t>PL</t>
  </si>
  <si>
    <t>Alocação</t>
  </si>
  <si>
    <t>Nominal</t>
  </si>
  <si>
    <t>Percentual</t>
  </si>
  <si>
    <t>CRI</t>
  </si>
  <si>
    <t>Compromissadas</t>
  </si>
  <si>
    <t>CRIs Táticos</t>
  </si>
  <si>
    <t>Cx.</t>
  </si>
  <si>
    <t>FII</t>
  </si>
  <si>
    <t>CRIs CDI</t>
  </si>
  <si>
    <t>CRIs IPCA</t>
  </si>
  <si>
    <t>CRIs IGPM</t>
  </si>
  <si>
    <t>Duration</t>
  </si>
  <si>
    <t>Step tabela</t>
  </si>
  <si>
    <t>Data base cálculos</t>
  </si>
  <si>
    <t>Categoria</t>
  </si>
  <si>
    <t>Taxa Aquisição</t>
  </si>
  <si>
    <t>Taxa MTM</t>
  </si>
  <si>
    <t>Nominal Aquis</t>
  </si>
  <si>
    <t>Nominal MTM</t>
  </si>
  <si>
    <t>Alocação da carteira</t>
  </si>
  <si>
    <t>Taxa carteira</t>
  </si>
  <si>
    <t>Carteira total</t>
  </si>
  <si>
    <t>Variação ajustada pela Duration</t>
  </si>
  <si>
    <t>Variação vs PL</t>
  </si>
  <si>
    <t>Carteira Aquis Nominal</t>
  </si>
  <si>
    <t>Carteira MTM Nominal</t>
  </si>
  <si>
    <t>Carteira Aquis CDI+</t>
  </si>
  <si>
    <t>Carteira Aquis IPCA+</t>
  </si>
  <si>
    <t>Carteira MTM CDI+</t>
  </si>
  <si>
    <t>Carteira MTM IPCA+</t>
  </si>
  <si>
    <t>Carteira CDI+ (-) Tx Adm.</t>
  </si>
  <si>
    <t>Carteira IPCA+ (-) Tx Adm.</t>
  </si>
  <si>
    <t>Alocação CRIs IGPM (%PL)</t>
  </si>
  <si>
    <t>CRIs IGPM+</t>
  </si>
  <si>
    <t>DY Últimos 12 meses</t>
  </si>
  <si>
    <t>Operação de desenvolvimento imobiliário de alto padrão de um projeto residencial localizado no Jardins, em São Paulo – SP. O empreendimento será desenvolvido pela Helbor, uma das maiores incorporadoras de capital aberto do país com perfil de produto médio-alto padrão. A operação conta com: alienação fiduciária de quotas da SPE, aval e fundos de reserva e despesas.</t>
  </si>
  <si>
    <t>CRI Barueri Logístico</t>
  </si>
  <si>
    <t>Operação de financiamento à aquisição de um centro logístico de aproximadamente 20mil metros quadrados, localizado na cidade de Barueri/SP, à 40km da capital. A operação conta com alienação fiduciária do imóvel, cessão fiduciária dos contratos de locação do ativo e fundo de reserva.</t>
  </si>
  <si>
    <t>input manual todo mês (não vigente)</t>
  </si>
  <si>
    <t>Acum. 2023</t>
  </si>
  <si>
    <t>Metodologia
(i) como projeção do CDI em 2023, foi utilizado o FRA na duration mais próxima de um ano, calculado pelo preço de fechamento do Derivativo de Juros Futuros do DI no dia 31/01/2023; 
(ii) como projeção do IPCA em 2023, a inflação implícita divulgada pela ANBIMA em 31/01/2023
(iii) como projeção do IGPM em 2023, o relatório focus divulgado em 27/01/2023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</si>
</sst>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[$-416]mmm\-yy;@"/>
    <numFmt numFmtId="168" formatCode="_(* #,##0_);_(* \(#,##0\);_(* &quot;-&quot;_);_(@_)"/>
    <numFmt numFmtId="169" formatCode="_-* #,##0.000_-;\-* #,##0.000_-;_-* &quot;-&quot;??_-;_-@_-"/>
    <numFmt numFmtId="170" formatCode="_(* #,##0.00_);_(* \(#,##0.00\);_(* &quot;-&quot;_);_(@_)"/>
    <numFmt numFmtId="171" formatCode="_(* #,##0_);_(* \(#,##0\);_(* &quot;-&quot;??_);_(@_)"/>
    <numFmt numFmtId="172" formatCode="#,#00;\(#,#00\)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Open Sans"/>
      <family val="2"/>
    </font>
    <font>
      <b/>
      <sz val="10"/>
      <color theme="0"/>
      <name val="Open Sans"/>
      <family val="2"/>
    </font>
    <font>
      <sz val="10"/>
      <color rgb="FFFF0000"/>
      <name val="Open Sans"/>
      <family val="2"/>
    </font>
    <font>
      <b/>
      <i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b/>
      <sz val="10"/>
      <color rgb="FF585856"/>
      <name val="Open Sans"/>
      <family val="2"/>
    </font>
    <font>
      <sz val="10"/>
      <color rgb="FF005192"/>
      <name val="Open Sans"/>
      <family val="2"/>
    </font>
    <font>
      <sz val="10"/>
      <color rgb="FF585856"/>
      <name val="Open Sans"/>
      <family val="2"/>
    </font>
    <font>
      <b/>
      <sz val="10"/>
      <color rgb="FF1A2C4C"/>
      <name val="Open Sans"/>
      <family val="2"/>
    </font>
    <font>
      <sz val="10"/>
      <color rgb="FF585856"/>
      <name val="Open Sans Light"/>
      <family val="2"/>
    </font>
    <font>
      <b/>
      <i/>
      <sz val="10"/>
      <color rgb="FF585856"/>
      <name val="Open Sans"/>
      <family val="2"/>
    </font>
    <font>
      <i/>
      <sz val="10"/>
      <color rgb="FF585856"/>
      <name val="Open Sans"/>
      <family val="2"/>
    </font>
    <font>
      <sz val="8"/>
      <color theme="0"/>
      <name val="Open Sans"/>
      <family val="2"/>
    </font>
    <font>
      <i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Calibri"/>
      <family val="2"/>
      <scheme val="minor"/>
    </font>
    <font>
      <b/>
      <sz val="10"/>
      <color rgb="FFFFFFFF"/>
      <name val="Open Sans"/>
      <family val="2"/>
    </font>
    <font>
      <sz val="11"/>
      <color rgb="FFFF0000"/>
      <name val="Open Sans"/>
      <family val="2"/>
    </font>
    <font>
      <sz val="10"/>
      <color theme="1"/>
      <name val="Calibri"/>
      <family val="2"/>
    </font>
    <font>
      <sz val="11"/>
      <color theme="1"/>
      <name val="Open Sans"/>
      <family val="2"/>
    </font>
    <font>
      <sz val="11"/>
      <color rgb="FF000000"/>
      <name val="Open Sans"/>
      <family val="2"/>
    </font>
    <font>
      <sz val="11"/>
      <color theme="1"/>
      <name val="Calibri"/>
      <family val="2"/>
    </font>
    <font>
      <sz val="11"/>
      <name val="Open Sans"/>
      <family val="2"/>
    </font>
    <font>
      <sz val="9"/>
      <name val="Open Sans"/>
      <family val="2"/>
    </font>
    <font>
      <b/>
      <sz val="11"/>
      <color theme="1"/>
      <name val="Open Sans"/>
      <family val="2"/>
    </font>
    <font>
      <sz val="11"/>
      <color rgb="FF0000FF"/>
      <name val="Open Sans"/>
      <family val="2"/>
    </font>
    <font>
      <i/>
      <sz val="10"/>
      <color theme="1"/>
      <name val="Open Sans"/>
      <family val="2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Open Sans"/>
      <family val="2"/>
    </font>
  </fonts>
  <fills count="20">
    <fill>
      <patternFill patternType="none"/>
    </fill>
    <fill>
      <patternFill patternType="gray125"/>
    </fill>
    <fill>
      <patternFill patternType="lightGrid">
        <fgColor auto="1"/>
        <bgColor rgb="FF1A2C4C"/>
      </patternFill>
    </fill>
    <fill>
      <patternFill patternType="lightGrid">
        <fgColor theme="1"/>
        <bgColor rgb="FF1A2C4C"/>
      </patternFill>
    </fill>
    <fill>
      <patternFill patternType="solid">
        <fgColor rgb="FF005192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A2C4C"/>
        <bgColor indexed="64"/>
      </patternFill>
    </fill>
    <fill>
      <patternFill patternType="solid">
        <fgColor rgb="FFD1F0F7"/>
        <bgColor indexed="64"/>
      </patternFill>
    </fill>
    <fill>
      <patternFill patternType="solid">
        <fgColor rgb="FF5858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A2C4C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1A2C4C"/>
      </left>
      <right/>
      <top style="thin">
        <color rgb="FF1A2C4C"/>
      </top>
      <bottom/>
      <diagonal/>
    </border>
    <border>
      <left/>
      <right/>
      <top style="thin">
        <color rgb="FF1A2C4C"/>
      </top>
      <bottom/>
      <diagonal/>
    </border>
    <border>
      <left style="thin">
        <color rgb="FF1A2C4C"/>
      </left>
      <right/>
      <top/>
      <bottom style="dotted">
        <color rgb="FF585856"/>
      </bottom>
      <diagonal/>
    </border>
    <border>
      <left/>
      <right/>
      <top/>
      <bottom style="dotted">
        <color rgb="FF585856"/>
      </bottom>
      <diagonal/>
    </border>
    <border>
      <left/>
      <right/>
      <top style="thin">
        <color rgb="FF005192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7" fontId="5" fillId="3" borderId="1" xfId="0" quotePrefix="1" applyNumberFormat="1" applyFont="1" applyFill="1" applyBorder="1" applyAlignment="1">
      <alignment horizontal="left" vertical="center" indent="1"/>
    </xf>
    <xf numFmtId="17" fontId="5" fillId="3" borderId="0" xfId="0" quotePrefix="1" applyNumberFormat="1" applyFont="1" applyFill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left" vertical="center" indent="1"/>
    </xf>
    <xf numFmtId="165" fontId="2" fillId="0" borderId="5" xfId="2" applyNumberFormat="1" applyFont="1" applyFill="1" applyBorder="1" applyAlignment="1">
      <alignment horizontal="center" vertical="center"/>
    </xf>
    <xf numFmtId="10" fontId="2" fillId="0" borderId="5" xfId="2" applyNumberFormat="1" applyFont="1" applyFill="1" applyBorder="1" applyAlignment="1">
      <alignment horizontal="center" vertical="center"/>
    </xf>
    <xf numFmtId="166" fontId="2" fillId="0" borderId="5" xfId="2" applyNumberFormat="1" applyFont="1" applyFill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17" fontId="7" fillId="7" borderId="0" xfId="0" applyNumberFormat="1" applyFont="1" applyFill="1" applyAlignment="1">
      <alignment horizontal="center" vertical="center"/>
    </xf>
    <xf numFmtId="17" fontId="7" fillId="6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10" fontId="10" fillId="0" borderId="0" xfId="2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7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2"/>
    </xf>
    <xf numFmtId="168" fontId="8" fillId="5" borderId="0" xfId="0" applyNumberFormat="1" applyFont="1" applyFill="1" applyAlignment="1">
      <alignment vertical="center"/>
    </xf>
    <xf numFmtId="168" fontId="8" fillId="6" borderId="0" xfId="0" applyNumberFormat="1" applyFont="1" applyFill="1" applyAlignment="1">
      <alignment vertical="center"/>
    </xf>
    <xf numFmtId="0" fontId="10" fillId="0" borderId="0" xfId="0" applyFont="1" applyAlignment="1">
      <alignment horizontal="left" vertical="center" indent="3"/>
    </xf>
    <xf numFmtId="168" fontId="12" fillId="0" borderId="0" xfId="0" applyNumberFormat="1" applyFont="1" applyAlignment="1">
      <alignment vertical="center"/>
    </xf>
    <xf numFmtId="168" fontId="12" fillId="6" borderId="0" xfId="0" applyNumberFormat="1" applyFont="1" applyFill="1" applyAlignment="1">
      <alignment vertical="center"/>
    </xf>
    <xf numFmtId="169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7" fillId="4" borderId="0" xfId="0" applyFont="1" applyFill="1" applyAlignment="1">
      <alignment horizontal="left" vertical="center" indent="2"/>
    </xf>
    <xf numFmtId="4" fontId="7" fillId="4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0" fillId="8" borderId="0" xfId="0" applyFont="1" applyFill="1" applyAlignment="1">
      <alignment horizontal="left" vertical="center" indent="2"/>
    </xf>
    <xf numFmtId="10" fontId="10" fillId="8" borderId="0" xfId="2" applyNumberFormat="1" applyFont="1" applyFill="1" applyAlignment="1">
      <alignment vertical="center"/>
    </xf>
    <xf numFmtId="10" fontId="6" fillId="6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70" fontId="10" fillId="0" borderId="0" xfId="0" applyNumberFormat="1" applyFont="1" applyAlignment="1">
      <alignment vertical="center"/>
    </xf>
    <xf numFmtId="0" fontId="10" fillId="5" borderId="0" xfId="0" applyFont="1" applyFill="1" applyAlignment="1">
      <alignment vertical="center"/>
    </xf>
    <xf numFmtId="170" fontId="10" fillId="5" borderId="0" xfId="0" applyNumberFormat="1" applyFont="1" applyFill="1" applyAlignment="1">
      <alignment vertical="center"/>
    </xf>
    <xf numFmtId="164" fontId="2" fillId="0" borderId="5" xfId="1" applyNumberFormat="1" applyFont="1" applyFill="1" applyBorder="1" applyAlignment="1">
      <alignment horizontal="center" vertical="center"/>
    </xf>
    <xf numFmtId="168" fontId="8" fillId="5" borderId="0" xfId="0" applyNumberFormat="1" applyFont="1" applyFill="1" applyAlignment="1">
      <alignment horizontal="center" vertical="center"/>
    </xf>
    <xf numFmtId="168" fontId="8" fillId="6" borderId="0" xfId="0" applyNumberFormat="1" applyFont="1" applyFill="1" applyAlignment="1">
      <alignment horizontal="center" vertical="center"/>
    </xf>
    <xf numFmtId="168" fontId="12" fillId="0" borderId="0" xfId="0" applyNumberFormat="1" applyFont="1" applyAlignment="1">
      <alignment horizontal="center" vertical="center"/>
    </xf>
    <xf numFmtId="168" fontId="12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/>
    </xf>
    <xf numFmtId="10" fontId="10" fillId="8" borderId="0" xfId="2" applyNumberFormat="1" applyFont="1" applyFill="1" applyAlignment="1">
      <alignment horizontal="center" vertical="center"/>
    </xf>
    <xf numFmtId="10" fontId="6" fillId="6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/>
    </xf>
    <xf numFmtId="170" fontId="10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" fontId="5" fillId="3" borderId="0" xfId="0" quotePrefix="1" applyNumberFormat="1" applyFont="1" applyFill="1" applyAlignment="1">
      <alignment horizontal="center" vertical="center"/>
    </xf>
    <xf numFmtId="0" fontId="3" fillId="9" borderId="2" xfId="0" applyFont="1" applyFill="1" applyBorder="1" applyAlignment="1">
      <alignment horizontal="left" vertical="center" indent="1"/>
    </xf>
    <xf numFmtId="0" fontId="3" fillId="9" borderId="3" xfId="0" applyFont="1" applyFill="1" applyBorder="1" applyAlignment="1">
      <alignment horizontal="left" vertical="center" indent="1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10" fontId="10" fillId="8" borderId="0" xfId="2" applyNumberFormat="1" applyFont="1" applyFill="1" applyAlignment="1">
      <alignment horizontal="right" vertical="center"/>
    </xf>
    <xf numFmtId="0" fontId="0" fillId="10" borderId="0" xfId="0" applyFill="1"/>
    <xf numFmtId="0" fontId="16" fillId="0" borderId="0" xfId="0" applyFont="1" applyAlignment="1">
      <alignment horizontal="left" wrapText="1"/>
    </xf>
    <xf numFmtId="0" fontId="18" fillId="0" borderId="0" xfId="0" applyFont="1"/>
    <xf numFmtId="0" fontId="19" fillId="11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11" borderId="0" xfId="0" applyFont="1" applyFill="1" applyAlignment="1">
      <alignment horizontal="center" vertical="center" wrapText="1"/>
    </xf>
    <xf numFmtId="0" fontId="21" fillId="0" borderId="0" xfId="0" applyFont="1"/>
    <xf numFmtId="0" fontId="22" fillId="10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2" fontId="23" fillId="0" borderId="0" xfId="1" applyNumberFormat="1" applyFont="1" applyFill="1" applyBorder="1" applyAlignment="1">
      <alignment horizontal="center" vertical="center"/>
    </xf>
    <xf numFmtId="10" fontId="23" fillId="0" borderId="0" xfId="2" applyNumberFormat="1" applyFont="1" applyFill="1" applyBorder="1" applyAlignment="1">
      <alignment horizontal="center" vertical="center"/>
    </xf>
    <xf numFmtId="10" fontId="23" fillId="13" borderId="0" xfId="2" applyNumberFormat="1" applyFont="1" applyFill="1" applyBorder="1" applyAlignment="1">
      <alignment horizontal="center" vertical="center"/>
    </xf>
    <xf numFmtId="10" fontId="23" fillId="0" borderId="7" xfId="2" applyNumberFormat="1" applyFont="1" applyFill="1" applyBorder="1" applyAlignment="1">
      <alignment horizontal="center" vertical="center"/>
    </xf>
    <xf numFmtId="0" fontId="24" fillId="0" borderId="0" xfId="0" applyFont="1"/>
    <xf numFmtId="0" fontId="22" fillId="10" borderId="0" xfId="0" applyFont="1" applyFill="1" applyAlignment="1">
      <alignment vertical="center"/>
    </xf>
    <xf numFmtId="0" fontId="22" fillId="12" borderId="0" xfId="0" applyFont="1" applyFill="1" applyAlignment="1">
      <alignment vertical="center"/>
    </xf>
    <xf numFmtId="10" fontId="22" fillId="12" borderId="0" xfId="0" applyNumberFormat="1" applyFont="1" applyFill="1" applyAlignment="1">
      <alignment horizontal="center" vertical="center"/>
    </xf>
    <xf numFmtId="2" fontId="23" fillId="13" borderId="0" xfId="1" applyNumberFormat="1" applyFont="1" applyFill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2" fontId="23" fillId="0" borderId="7" xfId="1" applyNumberFormat="1" applyFont="1" applyFill="1" applyBorder="1" applyAlignment="1">
      <alignment horizontal="center" vertical="center"/>
    </xf>
    <xf numFmtId="0" fontId="22" fillId="14" borderId="0" xfId="0" applyFont="1" applyFill="1" applyAlignment="1">
      <alignment horizontal="left" vertical="center"/>
    </xf>
    <xf numFmtId="0" fontId="22" fillId="14" borderId="0" xfId="0" applyFont="1" applyFill="1" applyAlignment="1">
      <alignment horizontal="center" vertical="center"/>
    </xf>
    <xf numFmtId="10" fontId="22" fillId="12" borderId="0" xfId="2" applyNumberFormat="1" applyFont="1" applyFill="1" applyAlignment="1">
      <alignment horizontal="center" vertical="center"/>
    </xf>
    <xf numFmtId="0" fontId="22" fillId="14" borderId="0" xfId="0" applyFont="1" applyFill="1" applyAlignment="1">
      <alignment vertical="center"/>
    </xf>
    <xf numFmtId="2" fontId="22" fillId="12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0" fontId="25" fillId="12" borderId="0" xfId="2" applyNumberFormat="1" applyFont="1" applyFill="1" applyAlignment="1">
      <alignment horizontal="center" vertical="center"/>
    </xf>
    <xf numFmtId="0" fontId="26" fillId="0" borderId="0" xfId="0" applyFont="1" applyAlignment="1">
      <alignment horizontal="left" vertical="center" readingOrder="1"/>
    </xf>
    <xf numFmtId="0" fontId="0" fillId="0" borderId="0" xfId="0" applyAlignment="1">
      <alignment wrapText="1"/>
    </xf>
    <xf numFmtId="0" fontId="27" fillId="14" borderId="0" xfId="0" applyFont="1" applyFill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0" fillId="0" borderId="0" xfId="0" applyFont="1"/>
    <xf numFmtId="0" fontId="0" fillId="0" borderId="11" xfId="0" applyBorder="1"/>
    <xf numFmtId="10" fontId="0" fillId="16" borderId="0" xfId="2" applyNumberFormat="1" applyFont="1" applyFill="1" applyBorder="1"/>
    <xf numFmtId="0" fontId="0" fillId="0" borderId="12" xfId="0" applyBorder="1"/>
    <xf numFmtId="0" fontId="31" fillId="0" borderId="0" xfId="0" applyFont="1"/>
    <xf numFmtId="10" fontId="0" fillId="17" borderId="0" xfId="2" applyNumberFormat="1" applyFont="1" applyFill="1" applyBorder="1"/>
    <xf numFmtId="10" fontId="0" fillId="16" borderId="0" xfId="0" applyNumberFormat="1" applyFill="1"/>
    <xf numFmtId="4" fontId="0" fillId="16" borderId="0" xfId="0" applyNumberFormat="1" applyFill="1"/>
    <xf numFmtId="43" fontId="0" fillId="16" borderId="0" xfId="1" applyFont="1" applyFill="1" applyBorder="1"/>
    <xf numFmtId="10" fontId="0" fillId="0" borderId="0" xfId="2" applyNumberFormat="1" applyFont="1" applyBorder="1"/>
    <xf numFmtId="2" fontId="0" fillId="16" borderId="0" xfId="0" applyNumberFormat="1" applyFill="1"/>
    <xf numFmtId="0" fontId="0" fillId="16" borderId="0" xfId="0" applyFill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0" borderId="0" xfId="0" applyNumberFormat="1"/>
    <xf numFmtId="0" fontId="32" fillId="0" borderId="0" xfId="0" applyFont="1" applyAlignment="1">
      <alignment wrapText="1"/>
    </xf>
    <xf numFmtId="10" fontId="32" fillId="0" borderId="0" xfId="2" applyNumberFormat="1" applyFont="1"/>
    <xf numFmtId="2" fontId="0" fillId="0" borderId="0" xfId="1" applyNumberFormat="1" applyFont="1" applyAlignment="1">
      <alignment horizontal="center"/>
    </xf>
    <xf numFmtId="10" fontId="0" fillId="0" borderId="0" xfId="2" applyNumberFormat="1" applyFont="1"/>
    <xf numFmtId="2" fontId="0" fillId="18" borderId="0" xfId="1" applyNumberFormat="1" applyFont="1" applyFill="1" applyAlignment="1">
      <alignment horizontal="center"/>
    </xf>
    <xf numFmtId="2" fontId="0" fillId="0" borderId="0" xfId="0" applyNumberFormat="1"/>
    <xf numFmtId="2" fontId="0" fillId="18" borderId="0" xfId="0" applyNumberFormat="1" applyFill="1"/>
    <xf numFmtId="16" fontId="0" fillId="19" borderId="0" xfId="0" applyNumberFormat="1" applyFill="1"/>
    <xf numFmtId="2" fontId="0" fillId="19" borderId="0" xfId="0" applyNumberFormat="1" applyFill="1"/>
    <xf numFmtId="10" fontId="0" fillId="19" borderId="0" xfId="0" applyNumberFormat="1" applyFill="1"/>
    <xf numFmtId="0" fontId="0" fillId="17" borderId="0" xfId="0" applyFill="1"/>
    <xf numFmtId="0" fontId="0" fillId="0" borderId="11" xfId="0" applyBorder="1" applyAlignment="1">
      <alignment wrapText="1"/>
    </xf>
    <xf numFmtId="10" fontId="0" fillId="16" borderId="14" xfId="2" applyNumberFormat="1" applyFont="1" applyFill="1" applyBorder="1"/>
    <xf numFmtId="10" fontId="0" fillId="16" borderId="14" xfId="0" applyNumberFormat="1" applyFill="1" applyBorder="1"/>
    <xf numFmtId="10" fontId="0" fillId="10" borderId="0" xfId="2" applyNumberFormat="1" applyFont="1" applyFill="1"/>
    <xf numFmtId="43" fontId="0" fillId="0" borderId="0" xfId="1" applyFont="1"/>
    <xf numFmtId="0" fontId="33" fillId="10" borderId="0" xfId="0" applyFont="1" applyFill="1" applyAlignment="1">
      <alignment vertical="center" wrapText="1"/>
    </xf>
    <xf numFmtId="172" fontId="8" fillId="5" borderId="0" xfId="0" applyNumberFormat="1" applyFont="1" applyFill="1" applyAlignment="1">
      <alignment horizontal="center" vertical="center"/>
    </xf>
    <xf numFmtId="172" fontId="10" fillId="0" borderId="0" xfId="0" applyNumberFormat="1" applyFont="1" applyAlignment="1">
      <alignment horizontal="center" vertical="center"/>
    </xf>
    <xf numFmtId="10" fontId="28" fillId="16" borderId="0" xfId="2" applyNumberFormat="1" applyFont="1" applyFill="1" applyAlignment="1">
      <alignment horizontal="right" vertical="center"/>
    </xf>
    <xf numFmtId="10" fontId="22" fillId="12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27" fillId="15" borderId="0" xfId="0" applyFont="1" applyFill="1" applyAlignment="1">
      <alignment horizontal="left" vertical="center" wrapText="1"/>
    </xf>
    <xf numFmtId="0" fontId="16" fillId="10" borderId="0" xfId="0" applyFont="1" applyFill="1" applyAlignment="1">
      <alignment horizontal="left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171" fontId="22" fillId="12" borderId="0" xfId="1" applyNumberFormat="1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59531</xdr:colOff>
      <xdr:row>1</xdr:row>
      <xdr:rowOff>238124</xdr:rowOff>
    </xdr:from>
    <xdr:to>
      <xdr:col>26</xdr:col>
      <xdr:colOff>1172283</xdr:colOff>
      <xdr:row>3</xdr:row>
      <xdr:rowOff>40451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70A2ABF-E99E-4F27-9AF0-608C9D216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1281" y="476249"/>
          <a:ext cx="1115292" cy="27857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1174823</xdr:colOff>
      <xdr:row>3</xdr:row>
      <xdr:rowOff>40451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B1E21C-0455-4BAB-BB5A-40CB73BD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11281" y="476249"/>
          <a:ext cx="1115292" cy="27857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1174823</xdr:colOff>
      <xdr:row>3</xdr:row>
      <xdr:rowOff>40451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8AFB0B3-6335-4202-A839-F8BA1D08E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1031" y="476249"/>
          <a:ext cx="1115292" cy="27857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1177998</xdr:colOff>
      <xdr:row>3</xdr:row>
      <xdr:rowOff>40451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87D1BBC-75A8-4BE6-A60C-FD963D1C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8451" y="474344"/>
          <a:ext cx="1117197" cy="27476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1177998</xdr:colOff>
      <xdr:row>3</xdr:row>
      <xdr:rowOff>40451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2C2DB60-AB2B-4E13-B8EA-4BA8CB7F2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6481" y="473074"/>
          <a:ext cx="1117197" cy="27222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1177998</xdr:colOff>
      <xdr:row>3</xdr:row>
      <xdr:rowOff>40451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41F50-C434-4E37-8845-832EFC15C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6481" y="473074"/>
          <a:ext cx="1117197" cy="27222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1177998</xdr:colOff>
      <xdr:row>3</xdr:row>
      <xdr:rowOff>40451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CA1238-8933-4D95-A6EB-C6B3AD721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6481" y="473074"/>
          <a:ext cx="1117197" cy="27222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1179268</xdr:colOff>
      <xdr:row>3</xdr:row>
      <xdr:rowOff>42991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74B47E-9F03-4A75-9F88-338B776F9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8451" y="474344"/>
          <a:ext cx="1117197" cy="274767"/>
        </a:xfrm>
        <a:prstGeom prst="rect">
          <a:avLst/>
        </a:prstGeom>
      </xdr:spPr>
    </xdr:pic>
    <xdr:clientData/>
  </xdr:twoCellAnchor>
  <xdr:twoCellAnchor editAs="oneCell">
    <xdr:from>
      <xdr:col>26</xdr:col>
      <xdr:colOff>59531</xdr:colOff>
      <xdr:row>1</xdr:row>
      <xdr:rowOff>238124</xdr:rowOff>
    </xdr:from>
    <xdr:to>
      <xdr:col>26</xdr:col>
      <xdr:colOff>1179268</xdr:colOff>
      <xdr:row>3</xdr:row>
      <xdr:rowOff>42991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062799A-DC5A-4076-9D2C-4B54664AD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48451" y="474344"/>
          <a:ext cx="1117197" cy="2747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335757</xdr:colOff>
      <xdr:row>2</xdr:row>
      <xdr:rowOff>214311</xdr:rowOff>
    </xdr:from>
    <xdr:ext cx="1117673" cy="278577"/>
    <xdr:pic>
      <xdr:nvPicPr>
        <xdr:cNvPr id="2" name="Picture 1">
          <a:extLst>
            <a:ext uri="{FF2B5EF4-FFF2-40B4-BE49-F238E27FC236}">
              <a16:creationId xmlns:a16="http://schemas.microsoft.com/office/drawing/2014/main" id="{5971CB85-BA4F-427A-93A4-D82EBABF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35320" y="690561"/>
          <a:ext cx="1117673" cy="27857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277244</xdr:colOff>
      <xdr:row>1</xdr:row>
      <xdr:rowOff>197302</xdr:rowOff>
    </xdr:from>
    <xdr:to>
      <xdr:col>32</xdr:col>
      <xdr:colOff>161724</xdr:colOff>
      <xdr:row>3</xdr:row>
      <xdr:rowOff>47254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B4CE8-D197-4431-AA37-2DA34288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0044" y="435427"/>
          <a:ext cx="1103680" cy="326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uza/Datto%20Workplace/RBRAsset/04.%20Cr&#233;dito/02.%20Investimentos/Acompanhamento/Planilh&#227;o/Base%20-%20n&#227;o%20salvar%20em%20cima/Planilh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uza/Desktop/Datto%20Workplace/RBRAsset/04.%20Cr&#233;dito/02.%20Investimentos/Acompanhamento/Planilh&#227;o/Base%20-%20n&#227;o%20salvar%20em%20cima/Planilh&#227;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"/>
      <sheetName val="MonitorBase"/>
      <sheetName val="Monitor"/>
      <sheetName val="Infos Estáticas"/>
      <sheetName val="Detalhamento_HG"/>
      <sheetName val="Detalhamento_HY"/>
      <sheetName val="Infos Dinâmicas Mensais"/>
      <sheetName val="Posição RBR"/>
      <sheetName val="Integralizações"/>
      <sheetName val="Rel. Mensal HG_1"/>
      <sheetName val="Rel. Mensal HY_1"/>
      <sheetName val="Rel. Mensal SOPP_1"/>
      <sheetName val="Tático+Liquidez_HG"/>
      <sheetName val="Tático+Liquidez_HY"/>
      <sheetName val="Tático+Liquidez_SOPP"/>
      <sheetName val="Garantias"/>
      <sheetName val="Rel. Mensal HG_2"/>
      <sheetName val="Rel. Mensal HY_2"/>
      <sheetName val="Rel. Mensal SOPP_2"/>
      <sheetName val="Resultado HG"/>
      <sheetName val="Resultado HY"/>
      <sheetName val="Resultado SOPP"/>
      <sheetName val="Gráficos HG"/>
      <sheetName val="Gráficos HY"/>
      <sheetName val="Gráficos SOPP"/>
      <sheetName val="Fundamentos - HG_1"/>
      <sheetName val="Fundamentos - HY_1"/>
      <sheetName val="Relatório"/>
      <sheetName val="PL Fundos"/>
      <sheetName val="Cessão Fiduciária Locação"/>
      <sheetName val="PMTs Projetadas"/>
      <sheetName val="Recebíveis"/>
      <sheetName val="Fundo de Reserva"/>
      <sheetName val="Vendas"/>
      <sheetName val="Cálculo de Covenants (2)"/>
      <sheetName val="Cálculo de Covenants"/>
      <sheetName val="Pré-Acompanhamento"/>
      <sheetName val="Auxiliar"/>
      <sheetName val="CDI"/>
      <sheetName val="NTNB"/>
      <sheetName val="Lista de Covenants"/>
      <sheetName val="HY"/>
      <sheetName val="Feri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 Exto"/>
      <sheetName val="Relatório Gafisa"/>
      <sheetName val="MonitorBase"/>
      <sheetName val="Monitor"/>
      <sheetName val="Infos Estáticas"/>
      <sheetName val="Infos Dinâmicas Mensais"/>
      <sheetName val="Posição RBR"/>
      <sheetName val="Compras e Vendas"/>
      <sheetName val="PL Fundos e Histórico"/>
      <sheetName val="Rel. Mensal HG_1"/>
      <sheetName val="Rel. Mensal HY_1"/>
      <sheetName val="Rel. Mensal SOPP_1"/>
      <sheetName val="Tático+Liquidez_HG"/>
      <sheetName val="Tático+Liquidez_HY"/>
      <sheetName val="Tático+Liquidez_SOPP"/>
      <sheetName val="Rel. Mensal HG_2"/>
      <sheetName val="Rel. Mensal HY_2"/>
      <sheetName val="Rel. Mensal SOPP_2"/>
      <sheetName val="Resultado HG"/>
      <sheetName val="Resultado HY"/>
      <sheetName val="Resultado SOPP"/>
      <sheetName val="Gráficos HG"/>
      <sheetName val="Gráficos HY"/>
      <sheetName val="Gráficos SOPP"/>
      <sheetName val="Garantias"/>
      <sheetName val="Recebíveis"/>
      <sheetName val="Fundo de Reserva"/>
      <sheetName val="Vendas"/>
      <sheetName val="Outros Covenants"/>
      <sheetName val="Cálculo de Covenants Móveis"/>
      <sheetName val="Pré-Acompanhamento"/>
      <sheetName val="Lista de Covenants"/>
      <sheetName val="Auxiliar"/>
      <sheetName val="CDI"/>
      <sheetName val="NTNB"/>
      <sheetName val="Feri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8F93-8894-4C33-8792-B356FB233D76}">
  <sheetPr>
    <tabColor theme="4" tint="0.79998168889431442"/>
  </sheetPr>
  <dimension ref="A1:AG1048574"/>
  <sheetViews>
    <sheetView showGridLines="0" tabSelected="1" zoomScale="85" zoomScaleNormal="85" workbookViewId="0">
      <pane xSplit="2" ySplit="6" topLeftCell="M7" activePane="bottomRight" state="frozen"/>
      <selection activeCell="B42" sqref="B42"/>
      <selection pane="topRight" activeCell="B42" sqref="B42"/>
      <selection pane="bottomLeft" activeCell="B42" sqref="B42"/>
      <selection pane="bottomRight"/>
    </sheetView>
  </sheetViews>
  <sheetFormatPr defaultColWidth="0" defaultRowHeight="11.25" customHeight="1" zeroHeight="1" x14ac:dyDescent="0.25"/>
  <cols>
    <col min="1" max="1" width="3.5703125" style="2" customWidth="1"/>
    <col min="2" max="2" width="43.5703125" style="2" customWidth="1"/>
    <col min="3" max="3" width="111.42578125" style="2" customWidth="1"/>
    <col min="4" max="4" width="19.28515625" style="2" customWidth="1"/>
    <col min="5" max="5" width="30.7109375" style="2" customWidth="1"/>
    <col min="6" max="6" width="17" style="2" bestFit="1" customWidth="1"/>
    <col min="7" max="9" width="16.28515625" style="2" customWidth="1"/>
    <col min="10" max="10" width="14.5703125" style="2" customWidth="1"/>
    <col min="11" max="11" width="12.7109375" style="2" customWidth="1"/>
    <col min="12" max="13" width="20.5703125" style="2" customWidth="1"/>
    <col min="14" max="14" width="17.7109375" style="2" customWidth="1"/>
    <col min="15" max="15" width="20.5703125" style="2" customWidth="1"/>
    <col min="16" max="16" width="15.5703125" style="2" customWidth="1"/>
    <col min="17" max="17" width="14.7109375" style="2" bestFit="1" customWidth="1"/>
    <col min="18" max="18" width="19.7109375" style="2" customWidth="1"/>
    <col min="19" max="19" width="12.42578125" style="2" customWidth="1"/>
    <col min="20" max="20" width="17.5703125" style="2" customWidth="1"/>
    <col min="21" max="21" width="21.28515625" style="2" customWidth="1"/>
    <col min="22" max="22" width="17.5703125" style="2" customWidth="1"/>
    <col min="23" max="23" width="28.42578125" style="2" customWidth="1"/>
    <col min="24" max="24" width="18.28515625" style="2" customWidth="1"/>
    <col min="25" max="27" width="24.7109375" style="2" customWidth="1"/>
    <col min="28" max="28" width="3.5703125" style="2" customWidth="1"/>
    <col min="29" max="29" width="9.28515625" style="2" hidden="1" customWidth="1"/>
    <col min="30" max="30" width="30.28515625" style="2" hidden="1" customWidth="1"/>
    <col min="31" max="31" width="19.28515625" style="2" hidden="1" customWidth="1"/>
    <col min="32" max="33" width="13.28515625" style="2" hidden="1" customWidth="1"/>
    <col min="34" max="16384" width="9.28515625" style="2" hidden="1"/>
  </cols>
  <sheetData>
    <row r="1" spans="1:3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8.75" customHeight="1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6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5"/>
    </row>
    <row r="3" spans="1:30" ht="18.75" customHeight="1" x14ac:dyDescent="0.25">
      <c r="A3" s="1"/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6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5"/>
    </row>
    <row r="4" spans="1:30" ht="18.75" customHeight="1" x14ac:dyDescent="0.25">
      <c r="A4" s="1"/>
      <c r="B4" s="7">
        <v>44927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67"/>
      <c r="Q4" s="8"/>
      <c r="R4" s="8"/>
      <c r="S4" s="8"/>
      <c r="T4" s="1"/>
      <c r="U4" s="1"/>
      <c r="V4" s="1"/>
      <c r="W4" s="1"/>
      <c r="X4" s="1"/>
      <c r="Y4" s="1"/>
      <c r="Z4" s="1"/>
      <c r="AA4" s="1"/>
      <c r="AB4" s="5"/>
    </row>
    <row r="5" spans="1:30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0" ht="37.5" customHeight="1" x14ac:dyDescent="0.25">
      <c r="A6" s="1"/>
      <c r="B6" s="68" t="s">
        <v>2</v>
      </c>
      <c r="C6" s="69" t="s">
        <v>3</v>
      </c>
      <c r="D6" s="70" t="s">
        <v>4</v>
      </c>
      <c r="E6" s="70" t="s">
        <v>5</v>
      </c>
      <c r="F6" s="71" t="s">
        <v>7</v>
      </c>
      <c r="G6" s="71" t="s">
        <v>8</v>
      </c>
      <c r="H6" s="71" t="s">
        <v>121</v>
      </c>
      <c r="I6" s="71" t="s">
        <v>134</v>
      </c>
      <c r="J6" s="71" t="s">
        <v>122</v>
      </c>
      <c r="K6" s="71" t="s">
        <v>6</v>
      </c>
      <c r="L6" s="71" t="s">
        <v>135</v>
      </c>
      <c r="M6" s="71" t="s">
        <v>131</v>
      </c>
      <c r="N6" s="71" t="s">
        <v>138</v>
      </c>
      <c r="O6" s="71" t="s">
        <v>139</v>
      </c>
      <c r="P6" s="71" t="s">
        <v>140</v>
      </c>
      <c r="Q6" s="71" t="s">
        <v>136</v>
      </c>
      <c r="R6" s="71" t="s">
        <v>9</v>
      </c>
      <c r="S6" s="71" t="s">
        <v>10</v>
      </c>
      <c r="T6" s="70" t="s">
        <v>11</v>
      </c>
      <c r="U6" s="70" t="s">
        <v>12</v>
      </c>
      <c r="V6" s="70" t="s">
        <v>13</v>
      </c>
      <c r="W6" s="70" t="s">
        <v>204</v>
      </c>
      <c r="X6" s="70" t="s">
        <v>14</v>
      </c>
      <c r="Y6" s="71" t="s">
        <v>15</v>
      </c>
      <c r="Z6" s="71" t="s">
        <v>16</v>
      </c>
      <c r="AA6" s="71" t="s">
        <v>17</v>
      </c>
      <c r="AB6" s="1"/>
    </row>
    <row r="7" spans="1:30" ht="75" customHeight="1" x14ac:dyDescent="0.25">
      <c r="A7" s="1"/>
      <c r="B7" s="9" t="s">
        <v>148</v>
      </c>
      <c r="C7" s="10" t="s">
        <v>149</v>
      </c>
      <c r="D7" s="11" t="s">
        <v>37</v>
      </c>
      <c r="E7" s="12" t="s">
        <v>38</v>
      </c>
      <c r="F7" s="12" t="s">
        <v>39</v>
      </c>
      <c r="G7" s="15">
        <v>7.2499999999999995E-2</v>
      </c>
      <c r="H7" s="15">
        <v>7.78844726204099E-2</v>
      </c>
      <c r="I7" s="53">
        <v>108086916.58905001</v>
      </c>
      <c r="J7" s="13">
        <v>103618573.99005</v>
      </c>
      <c r="K7" s="14">
        <v>8.161463126514315E-2</v>
      </c>
      <c r="L7" s="14">
        <v>1</v>
      </c>
      <c r="M7" s="14">
        <v>0.875</v>
      </c>
      <c r="N7" s="53">
        <v>120000</v>
      </c>
      <c r="O7" s="53">
        <v>120000</v>
      </c>
      <c r="P7" s="53">
        <v>105000</v>
      </c>
      <c r="Q7" s="16">
        <v>8.8030000000000008</v>
      </c>
      <c r="R7" s="17">
        <v>49753</v>
      </c>
      <c r="S7" s="18">
        <v>0.56584758982820649</v>
      </c>
      <c r="T7" s="12" t="s">
        <v>162</v>
      </c>
      <c r="U7" s="12" t="s">
        <v>163</v>
      </c>
      <c r="V7" s="12" t="s">
        <v>49</v>
      </c>
      <c r="W7" s="12" t="s">
        <v>33</v>
      </c>
      <c r="X7" s="12" t="s">
        <v>34</v>
      </c>
      <c r="Y7" s="18">
        <v>1</v>
      </c>
      <c r="Z7" s="18">
        <v>0</v>
      </c>
      <c r="AA7" s="18">
        <v>0</v>
      </c>
      <c r="AB7" s="1"/>
    </row>
    <row r="8" spans="1:30" ht="75" customHeight="1" x14ac:dyDescent="0.25">
      <c r="A8" s="1"/>
      <c r="B8" s="9" t="s">
        <v>155</v>
      </c>
      <c r="C8" s="10" t="s">
        <v>158</v>
      </c>
      <c r="D8" s="11" t="s">
        <v>37</v>
      </c>
      <c r="E8" s="12" t="s">
        <v>31</v>
      </c>
      <c r="F8" s="12" t="s">
        <v>39</v>
      </c>
      <c r="G8" s="15">
        <v>6.5500000000000003E-2</v>
      </c>
      <c r="H8" s="15">
        <v>6.2509988666694494E-2</v>
      </c>
      <c r="I8" s="53">
        <v>101736354.45516999</v>
      </c>
      <c r="J8" s="13">
        <v>103171595.29148</v>
      </c>
      <c r="K8" s="14">
        <v>8.1262570816302504E-2</v>
      </c>
      <c r="L8" s="14">
        <v>1</v>
      </c>
      <c r="M8" s="14">
        <v>1</v>
      </c>
      <c r="N8" s="53">
        <v>101000</v>
      </c>
      <c r="O8" s="53">
        <v>101000</v>
      </c>
      <c r="P8" s="53">
        <v>101000</v>
      </c>
      <c r="Q8" s="16">
        <v>4.3</v>
      </c>
      <c r="R8" s="17">
        <v>46744.999999999993</v>
      </c>
      <c r="S8" s="18">
        <v>0.72733787312500919</v>
      </c>
      <c r="T8" s="12" t="s">
        <v>164</v>
      </c>
      <c r="U8" s="12" t="s">
        <v>163</v>
      </c>
      <c r="V8" s="12" t="s">
        <v>115</v>
      </c>
      <c r="W8" s="12" t="s">
        <v>33</v>
      </c>
      <c r="X8" s="12" t="s">
        <v>34</v>
      </c>
      <c r="Y8" s="18">
        <v>1</v>
      </c>
      <c r="Z8" s="18">
        <v>1</v>
      </c>
      <c r="AA8" s="18">
        <v>1</v>
      </c>
      <c r="AB8" s="1"/>
      <c r="AD8" s="19"/>
    </row>
    <row r="9" spans="1:30" ht="75" customHeight="1" x14ac:dyDescent="0.25">
      <c r="A9" s="1"/>
      <c r="B9" s="9" t="s">
        <v>112</v>
      </c>
      <c r="C9" s="10" t="s">
        <v>113</v>
      </c>
      <c r="D9" s="11" t="s">
        <v>48</v>
      </c>
      <c r="E9" s="12" t="s">
        <v>31</v>
      </c>
      <c r="F9" s="12" t="s">
        <v>39</v>
      </c>
      <c r="G9" s="15">
        <v>6.4000000000000001E-2</v>
      </c>
      <c r="H9" s="15">
        <v>7.5541256704739407E-2</v>
      </c>
      <c r="I9" s="53">
        <v>102302163.98789544</v>
      </c>
      <c r="J9" s="13">
        <v>97935453.039641798</v>
      </c>
      <c r="K9" s="14">
        <v>7.7138350585510218E-2</v>
      </c>
      <c r="L9" s="14">
        <v>1</v>
      </c>
      <c r="M9" s="14">
        <v>0.96139999999999992</v>
      </c>
      <c r="N9" s="53">
        <v>100000</v>
      </c>
      <c r="O9" s="53">
        <v>100000</v>
      </c>
      <c r="P9" s="53">
        <v>96140</v>
      </c>
      <c r="Q9" s="16">
        <v>4.2208925702476403</v>
      </c>
      <c r="R9" s="17">
        <v>48174.999999999993</v>
      </c>
      <c r="S9" s="18">
        <v>0.77341756957950669</v>
      </c>
      <c r="T9" s="12" t="s">
        <v>165</v>
      </c>
      <c r="U9" s="12" t="s">
        <v>163</v>
      </c>
      <c r="V9" s="12" t="s">
        <v>115</v>
      </c>
      <c r="W9" s="12" t="s">
        <v>33</v>
      </c>
      <c r="X9" s="12" t="s">
        <v>34</v>
      </c>
      <c r="Y9" s="18">
        <v>1</v>
      </c>
      <c r="Z9" s="18">
        <v>1</v>
      </c>
      <c r="AA9" s="18">
        <v>1</v>
      </c>
      <c r="AB9" s="1"/>
      <c r="AD9" s="19"/>
    </row>
    <row r="10" spans="1:30" ht="75" customHeight="1" x14ac:dyDescent="0.25">
      <c r="A10" s="1"/>
      <c r="B10" s="9" t="s">
        <v>28</v>
      </c>
      <c r="C10" s="10" t="s">
        <v>29</v>
      </c>
      <c r="D10" s="11" t="s">
        <v>30</v>
      </c>
      <c r="E10" s="12" t="s">
        <v>31</v>
      </c>
      <c r="F10" s="12" t="s">
        <v>32</v>
      </c>
      <c r="G10" s="15">
        <v>4.7500000000000007E-2</v>
      </c>
      <c r="H10" s="15">
        <v>6.8999575261783394E-2</v>
      </c>
      <c r="I10" s="53">
        <v>104018919.45644757</v>
      </c>
      <c r="J10" s="13">
        <v>93413796.085168451</v>
      </c>
      <c r="K10" s="14">
        <v>7.3576890985783933E-2</v>
      </c>
      <c r="L10" s="14">
        <v>0.56219285714285716</v>
      </c>
      <c r="M10" s="14">
        <v>0.56219285714285716</v>
      </c>
      <c r="N10" s="53">
        <v>140000</v>
      </c>
      <c r="O10" s="53">
        <v>140000</v>
      </c>
      <c r="P10" s="53">
        <v>78707</v>
      </c>
      <c r="Q10" s="16">
        <v>2.19922093062132</v>
      </c>
      <c r="R10" s="17">
        <v>49292.999999999993</v>
      </c>
      <c r="S10" s="18">
        <v>0.708987123026808</v>
      </c>
      <c r="T10" s="12" t="s">
        <v>166</v>
      </c>
      <c r="U10" s="12" t="s">
        <v>163</v>
      </c>
      <c r="V10" s="12" t="s">
        <v>115</v>
      </c>
      <c r="W10" s="12" t="s">
        <v>33</v>
      </c>
      <c r="X10" s="12" t="s">
        <v>34</v>
      </c>
      <c r="Y10" s="18">
        <v>0</v>
      </c>
      <c r="Z10" s="18">
        <v>0</v>
      </c>
      <c r="AA10" s="18">
        <v>0</v>
      </c>
      <c r="AB10" s="1"/>
      <c r="AD10" s="19"/>
    </row>
    <row r="11" spans="1:30" ht="75" customHeight="1" x14ac:dyDescent="0.25">
      <c r="A11" s="1"/>
      <c r="B11" s="9" t="s">
        <v>156</v>
      </c>
      <c r="C11" s="10" t="s">
        <v>158</v>
      </c>
      <c r="D11" s="11" t="s">
        <v>37</v>
      </c>
      <c r="E11" s="12" t="s">
        <v>31</v>
      </c>
      <c r="F11" s="12" t="s">
        <v>41</v>
      </c>
      <c r="G11" s="15">
        <v>2.1499999999999998E-2</v>
      </c>
      <c r="H11" s="15">
        <v>2.1499999999999998E-2</v>
      </c>
      <c r="I11" s="53">
        <v>71168374.15629001</v>
      </c>
      <c r="J11" s="13">
        <v>71168374.066829994</v>
      </c>
      <c r="K11" s="14">
        <v>5.6055399949451697E-2</v>
      </c>
      <c r="L11" s="14">
        <v>1</v>
      </c>
      <c r="M11" s="14">
        <v>1</v>
      </c>
      <c r="N11" s="53">
        <v>71000</v>
      </c>
      <c r="O11" s="53">
        <v>71000</v>
      </c>
      <c r="P11" s="53">
        <v>71000</v>
      </c>
      <c r="Q11" s="16">
        <v>3.5</v>
      </c>
      <c r="R11" s="17">
        <v>46745</v>
      </c>
      <c r="S11" s="18">
        <v>0.73217556372674752</v>
      </c>
      <c r="T11" s="12" t="s">
        <v>167</v>
      </c>
      <c r="U11" s="12" t="s">
        <v>163</v>
      </c>
      <c r="V11" s="12" t="s">
        <v>115</v>
      </c>
      <c r="W11" s="12" t="s">
        <v>33</v>
      </c>
      <c r="X11" s="12" t="s">
        <v>34</v>
      </c>
      <c r="Y11" s="18">
        <v>1</v>
      </c>
      <c r="Z11" s="18">
        <v>1</v>
      </c>
      <c r="AA11" s="18">
        <v>1</v>
      </c>
      <c r="AB11" s="1"/>
      <c r="AD11" s="19"/>
    </row>
    <row r="12" spans="1:30" ht="75" customHeight="1" x14ac:dyDescent="0.25">
      <c r="A12" s="1"/>
      <c r="B12" s="9" t="s">
        <v>125</v>
      </c>
      <c r="C12" s="10" t="s">
        <v>126</v>
      </c>
      <c r="D12" s="11" t="s">
        <v>48</v>
      </c>
      <c r="E12" s="12" t="s">
        <v>40</v>
      </c>
      <c r="F12" s="12" t="s">
        <v>39</v>
      </c>
      <c r="G12" s="15">
        <v>7.7499999999999999E-2</v>
      </c>
      <c r="H12" s="15">
        <v>6.7618227606097203E-2</v>
      </c>
      <c r="I12" s="53">
        <v>71409195.734093204</v>
      </c>
      <c r="J12" s="13">
        <v>69920884.740704387</v>
      </c>
      <c r="K12" s="14">
        <v>5.5072821465320852E-2</v>
      </c>
      <c r="L12" s="14">
        <v>1</v>
      </c>
      <c r="M12" s="14">
        <v>0.86721077859826412</v>
      </c>
      <c r="N12" s="53">
        <v>77190</v>
      </c>
      <c r="O12" s="53">
        <v>77190</v>
      </c>
      <c r="P12" s="53">
        <v>66940</v>
      </c>
      <c r="Q12" s="16">
        <v>6.0920889503389901</v>
      </c>
      <c r="R12" s="17">
        <v>48262</v>
      </c>
      <c r="S12" s="18">
        <v>0.76636345760561941</v>
      </c>
      <c r="T12" s="12" t="s">
        <v>168</v>
      </c>
      <c r="U12" s="12" t="s">
        <v>163</v>
      </c>
      <c r="V12" s="12" t="s">
        <v>115</v>
      </c>
      <c r="W12" s="12" t="s">
        <v>33</v>
      </c>
      <c r="X12" s="12" t="s">
        <v>34</v>
      </c>
      <c r="Y12" s="18">
        <v>1</v>
      </c>
      <c r="Z12" s="18">
        <v>1</v>
      </c>
      <c r="AA12" s="18">
        <v>1</v>
      </c>
      <c r="AB12" s="1"/>
      <c r="AD12" s="19"/>
    </row>
    <row r="13" spans="1:30" ht="75" customHeight="1" x14ac:dyDescent="0.25">
      <c r="A13" s="1"/>
      <c r="B13" s="9" t="s">
        <v>42</v>
      </c>
      <c r="C13" s="10" t="s">
        <v>102</v>
      </c>
      <c r="D13" s="11" t="s">
        <v>43</v>
      </c>
      <c r="E13" s="12" t="s">
        <v>38</v>
      </c>
      <c r="F13" s="12" t="s">
        <v>39</v>
      </c>
      <c r="G13" s="15">
        <v>4.4999999999999998E-2</v>
      </c>
      <c r="H13" s="15">
        <v>6.2058788454714603E-2</v>
      </c>
      <c r="I13" s="53">
        <v>73585133.636547908</v>
      </c>
      <c r="J13" s="13">
        <v>67459161.827951446</v>
      </c>
      <c r="K13" s="14">
        <v>5.3133858207434499E-2</v>
      </c>
      <c r="L13" s="14">
        <v>1</v>
      </c>
      <c r="M13" s="14">
        <v>0.5083266666666667</v>
      </c>
      <c r="N13" s="53">
        <v>150000</v>
      </c>
      <c r="O13" s="53">
        <v>150000</v>
      </c>
      <c r="P13" s="53">
        <v>76249</v>
      </c>
      <c r="Q13" s="16">
        <v>1</v>
      </c>
      <c r="R13" s="17">
        <v>45397</v>
      </c>
      <c r="S13" s="18">
        <v>0.36929349782206922</v>
      </c>
      <c r="T13" s="12" t="s">
        <v>169</v>
      </c>
      <c r="U13" s="12" t="s">
        <v>163</v>
      </c>
      <c r="V13" s="12" t="s">
        <v>44</v>
      </c>
      <c r="W13" s="12" t="s">
        <v>33</v>
      </c>
      <c r="X13" s="12" t="s">
        <v>34</v>
      </c>
      <c r="Y13" s="18">
        <v>1</v>
      </c>
      <c r="Z13" s="18">
        <v>0</v>
      </c>
      <c r="AA13" s="18">
        <v>0</v>
      </c>
      <c r="AB13" s="1"/>
      <c r="AD13" s="19"/>
    </row>
    <row r="14" spans="1:30" ht="75" customHeight="1" x14ac:dyDescent="0.25">
      <c r="A14" s="1"/>
      <c r="B14" s="9" t="s">
        <v>35</v>
      </c>
      <c r="C14" s="10" t="s">
        <v>36</v>
      </c>
      <c r="D14" s="11" t="s">
        <v>37</v>
      </c>
      <c r="E14" s="12" t="s">
        <v>31</v>
      </c>
      <c r="F14" s="12" t="s">
        <v>32</v>
      </c>
      <c r="G14" s="15">
        <v>4.7500000000000001E-2</v>
      </c>
      <c r="H14" s="15">
        <v>6.8995714286898699E-2</v>
      </c>
      <c r="I14" s="53">
        <v>66231445.396999501</v>
      </c>
      <c r="J14" s="13">
        <v>59463489.354000002</v>
      </c>
      <c r="K14" s="14">
        <v>4.6836108339335901E-2</v>
      </c>
      <c r="L14" s="14">
        <v>1</v>
      </c>
      <c r="M14" s="14">
        <v>1</v>
      </c>
      <c r="N14" s="53">
        <v>50000</v>
      </c>
      <c r="O14" s="53">
        <v>50000</v>
      </c>
      <c r="P14" s="53">
        <v>50000</v>
      </c>
      <c r="Q14" s="16">
        <v>1.86967175125484</v>
      </c>
      <c r="R14" s="17">
        <v>49298</v>
      </c>
      <c r="S14" s="18">
        <v>0.74255161082982224</v>
      </c>
      <c r="T14" s="12" t="s">
        <v>170</v>
      </c>
      <c r="U14" s="12" t="s">
        <v>163</v>
      </c>
      <c r="V14" s="12" t="s">
        <v>115</v>
      </c>
      <c r="W14" s="12" t="s">
        <v>124</v>
      </c>
      <c r="X14" s="12" t="s">
        <v>34</v>
      </c>
      <c r="Y14" s="18">
        <v>1</v>
      </c>
      <c r="Z14" s="18">
        <v>1</v>
      </c>
      <c r="AA14" s="18">
        <v>1</v>
      </c>
      <c r="AB14" s="1"/>
      <c r="AD14" s="19"/>
    </row>
    <row r="15" spans="1:30" ht="75" customHeight="1" x14ac:dyDescent="0.25">
      <c r="A15" s="1"/>
      <c r="B15" s="9" t="s">
        <v>103</v>
      </c>
      <c r="C15" s="10" t="s">
        <v>104</v>
      </c>
      <c r="D15" s="11" t="s">
        <v>30</v>
      </c>
      <c r="E15" s="12" t="s">
        <v>38</v>
      </c>
      <c r="F15" s="12" t="s">
        <v>39</v>
      </c>
      <c r="G15" s="15">
        <v>6.25E-2</v>
      </c>
      <c r="H15" s="15">
        <v>7.0254176399999993E-2</v>
      </c>
      <c r="I15" s="53">
        <v>51301979.455009371</v>
      </c>
      <c r="J15" s="13">
        <v>48354436.197926</v>
      </c>
      <c r="K15" s="14">
        <v>3.8086120358176108E-2</v>
      </c>
      <c r="L15" s="14">
        <v>0.95894155595648134</v>
      </c>
      <c r="M15" s="14">
        <v>0.5144934667322727</v>
      </c>
      <c r="N15" s="53">
        <v>91455</v>
      </c>
      <c r="O15" s="53">
        <v>91455</v>
      </c>
      <c r="P15" s="53">
        <v>47053</v>
      </c>
      <c r="Q15" s="16">
        <v>8.3154507914543103</v>
      </c>
      <c r="R15" s="17">
        <v>48378</v>
      </c>
      <c r="S15" s="18">
        <v>0.7805367384662385</v>
      </c>
      <c r="T15" s="12" t="s">
        <v>171</v>
      </c>
      <c r="U15" s="12" t="s">
        <v>163</v>
      </c>
      <c r="V15" s="12" t="s">
        <v>115</v>
      </c>
      <c r="W15" s="12" t="s">
        <v>33</v>
      </c>
      <c r="X15" s="12" t="s">
        <v>34</v>
      </c>
      <c r="Y15" s="18">
        <v>1</v>
      </c>
      <c r="Z15" s="18">
        <v>0</v>
      </c>
      <c r="AA15" s="18">
        <v>0</v>
      </c>
      <c r="AB15" s="1"/>
      <c r="AD15" s="19"/>
    </row>
    <row r="16" spans="1:30" ht="75" customHeight="1" x14ac:dyDescent="0.25">
      <c r="A16" s="1"/>
      <c r="B16" s="9" t="s">
        <v>150</v>
      </c>
      <c r="C16" s="10" t="s">
        <v>149</v>
      </c>
      <c r="D16" s="11" t="s">
        <v>37</v>
      </c>
      <c r="E16" s="12" t="s">
        <v>38</v>
      </c>
      <c r="F16" s="12" t="s">
        <v>39</v>
      </c>
      <c r="G16" s="15">
        <v>7.1499999999999994E-2</v>
      </c>
      <c r="H16" s="15">
        <v>7.2987478332030606E-2</v>
      </c>
      <c r="I16" s="53">
        <v>46102589.660000004</v>
      </c>
      <c r="J16" s="13">
        <v>46799462.261019997</v>
      </c>
      <c r="K16" s="14">
        <v>3.6861353218457724E-2</v>
      </c>
      <c r="L16" s="14">
        <v>1</v>
      </c>
      <c r="M16" s="14">
        <v>0.76666666666666672</v>
      </c>
      <c r="N16" s="53">
        <v>60000</v>
      </c>
      <c r="O16" s="53">
        <v>60000</v>
      </c>
      <c r="P16" s="53">
        <v>46000</v>
      </c>
      <c r="Q16" s="16">
        <v>2.57598456720486</v>
      </c>
      <c r="R16" s="17">
        <v>46618</v>
      </c>
      <c r="S16" s="18">
        <v>0.56255536737600997</v>
      </c>
      <c r="T16" s="12" t="s">
        <v>172</v>
      </c>
      <c r="U16" s="12" t="s">
        <v>163</v>
      </c>
      <c r="V16" s="12" t="s">
        <v>49</v>
      </c>
      <c r="W16" s="12" t="s">
        <v>33</v>
      </c>
      <c r="X16" s="12" t="s">
        <v>34</v>
      </c>
      <c r="Y16" s="18">
        <v>1</v>
      </c>
      <c r="Z16" s="18">
        <v>0</v>
      </c>
      <c r="AA16" s="18">
        <v>0</v>
      </c>
      <c r="AB16" s="1"/>
      <c r="AD16" s="19"/>
    </row>
    <row r="17" spans="1:30" ht="75" customHeight="1" x14ac:dyDescent="0.25">
      <c r="A17" s="1"/>
      <c r="B17" s="9" t="s">
        <v>106</v>
      </c>
      <c r="C17" s="10" t="s">
        <v>107</v>
      </c>
      <c r="D17" s="11" t="s">
        <v>37</v>
      </c>
      <c r="E17" s="12" t="s">
        <v>40</v>
      </c>
      <c r="F17" s="12" t="s">
        <v>41</v>
      </c>
      <c r="G17" s="15">
        <v>3.5000000000000003E-2</v>
      </c>
      <c r="H17" s="15">
        <v>3.5000000000000003E-2</v>
      </c>
      <c r="I17" s="53">
        <v>37119381.129000001</v>
      </c>
      <c r="J17" s="13">
        <v>37119381.144540004</v>
      </c>
      <c r="K17" s="14">
        <v>2.9236887637469771E-2</v>
      </c>
      <c r="L17" s="14">
        <v>1</v>
      </c>
      <c r="M17" s="14">
        <v>0.7400000000000001</v>
      </c>
      <c r="N17" s="53">
        <v>55000</v>
      </c>
      <c r="O17" s="53">
        <v>50000</v>
      </c>
      <c r="P17" s="53">
        <v>37000</v>
      </c>
      <c r="Q17" s="16">
        <v>3.7134158296970501</v>
      </c>
      <c r="R17" s="17">
        <v>47990</v>
      </c>
      <c r="S17" s="18">
        <v>0.68796507613464086</v>
      </c>
      <c r="T17" s="12" t="s">
        <v>174</v>
      </c>
      <c r="U17" s="12" t="s">
        <v>163</v>
      </c>
      <c r="V17" s="12" t="s">
        <v>115</v>
      </c>
      <c r="W17" s="12" t="s">
        <v>33</v>
      </c>
      <c r="X17" s="12" t="s">
        <v>34</v>
      </c>
      <c r="Y17" s="18">
        <v>1</v>
      </c>
      <c r="Z17" s="18">
        <v>1</v>
      </c>
      <c r="AA17" s="18">
        <v>1</v>
      </c>
      <c r="AB17" s="1"/>
      <c r="AD17" s="19"/>
    </row>
    <row r="18" spans="1:30" ht="75" customHeight="1" x14ac:dyDescent="0.25">
      <c r="A18" s="1"/>
      <c r="B18" s="9" t="s">
        <v>159</v>
      </c>
      <c r="C18" s="10" t="s">
        <v>160</v>
      </c>
      <c r="D18" s="11" t="s">
        <v>30</v>
      </c>
      <c r="E18" s="12" t="s">
        <v>40</v>
      </c>
      <c r="F18" s="12" t="s">
        <v>41</v>
      </c>
      <c r="G18" s="15">
        <v>0.03</v>
      </c>
      <c r="H18" s="15">
        <v>3.5499285179999999E-2</v>
      </c>
      <c r="I18" s="53">
        <v>37481360.132687978</v>
      </c>
      <c r="J18" s="13">
        <v>36799591.114257783</v>
      </c>
      <c r="K18" s="14">
        <v>2.898500668216673E-2</v>
      </c>
      <c r="L18" s="14">
        <v>0.79810588235294122</v>
      </c>
      <c r="M18" s="14">
        <v>0.22751764705882349</v>
      </c>
      <c r="N18" s="53">
        <v>170000</v>
      </c>
      <c r="O18" s="53">
        <v>170000</v>
      </c>
      <c r="P18" s="53">
        <v>38678</v>
      </c>
      <c r="Q18" s="16">
        <v>3.5</v>
      </c>
      <c r="R18" s="17">
        <v>46741</v>
      </c>
      <c r="S18" s="18">
        <v>0.8634763443438036</v>
      </c>
      <c r="T18" s="12" t="s">
        <v>173</v>
      </c>
      <c r="U18" s="12" t="s">
        <v>163</v>
      </c>
      <c r="V18" s="12" t="s">
        <v>49</v>
      </c>
      <c r="W18" s="12" t="s">
        <v>33</v>
      </c>
      <c r="X18" s="12" t="s">
        <v>34</v>
      </c>
      <c r="Y18" s="18">
        <v>0</v>
      </c>
      <c r="Z18" s="18">
        <v>0</v>
      </c>
      <c r="AA18" s="18">
        <v>0</v>
      </c>
      <c r="AB18" s="1"/>
      <c r="AD18" s="19"/>
    </row>
    <row r="19" spans="1:30" ht="75" customHeight="1" x14ac:dyDescent="0.25">
      <c r="A19" s="1"/>
      <c r="B19" s="9" t="s">
        <v>111</v>
      </c>
      <c r="C19" s="10" t="s">
        <v>117</v>
      </c>
      <c r="D19" s="11" t="s">
        <v>30</v>
      </c>
      <c r="E19" s="12" t="s">
        <v>31</v>
      </c>
      <c r="F19" s="12" t="s">
        <v>39</v>
      </c>
      <c r="G19" s="15">
        <v>5.9193000000000003E-2</v>
      </c>
      <c r="H19" s="15">
        <v>7.6940415442963608E-2</v>
      </c>
      <c r="I19" s="53">
        <v>39000279.925689682</v>
      </c>
      <c r="J19" s="13">
        <v>34883828.346389763</v>
      </c>
      <c r="K19" s="14">
        <v>2.747606609487345E-2</v>
      </c>
      <c r="L19" s="14">
        <v>0.17915216586449464</v>
      </c>
      <c r="M19" s="14">
        <v>0.13029248426508702</v>
      </c>
      <c r="N19" s="53">
        <v>270100</v>
      </c>
      <c r="O19" s="53">
        <v>270100</v>
      </c>
      <c r="P19" s="53">
        <v>35192</v>
      </c>
      <c r="Q19" s="16">
        <v>6.9359137701066302</v>
      </c>
      <c r="R19" s="17">
        <v>48111</v>
      </c>
      <c r="S19" s="18">
        <v>0.68811195386156088</v>
      </c>
      <c r="T19" s="12" t="s">
        <v>175</v>
      </c>
      <c r="U19" s="12" t="s">
        <v>163</v>
      </c>
      <c r="V19" s="12" t="s">
        <v>116</v>
      </c>
      <c r="W19" s="12" t="s">
        <v>124</v>
      </c>
      <c r="X19" s="12" t="s">
        <v>34</v>
      </c>
      <c r="Y19" s="18">
        <v>1</v>
      </c>
      <c r="Z19" s="18">
        <v>1</v>
      </c>
      <c r="AA19" s="18">
        <v>1</v>
      </c>
      <c r="AB19" s="1"/>
      <c r="AD19" s="19"/>
    </row>
    <row r="20" spans="1:30" ht="75" customHeight="1" x14ac:dyDescent="0.25">
      <c r="A20" s="1"/>
      <c r="B20" s="9" t="s">
        <v>161</v>
      </c>
      <c r="C20" s="10" t="s">
        <v>160</v>
      </c>
      <c r="D20" s="11" t="s">
        <v>30</v>
      </c>
      <c r="E20" s="12" t="s">
        <v>40</v>
      </c>
      <c r="F20" s="12" t="s">
        <v>41</v>
      </c>
      <c r="G20" s="15">
        <v>0.03</v>
      </c>
      <c r="H20" s="15">
        <v>3.5499285179999999E-2</v>
      </c>
      <c r="I20" s="53">
        <v>31618538.145957481</v>
      </c>
      <c r="J20" s="13">
        <v>31043411.212472279</v>
      </c>
      <c r="K20" s="14">
        <v>2.4451181499191687E-2</v>
      </c>
      <c r="L20" s="14">
        <v>0.43919411764705885</v>
      </c>
      <c r="M20" s="14">
        <v>0.19192941176470588</v>
      </c>
      <c r="N20" s="53">
        <v>170000</v>
      </c>
      <c r="O20" s="53">
        <v>170000</v>
      </c>
      <c r="P20" s="53">
        <v>32628</v>
      </c>
      <c r="Q20" s="16">
        <v>3.5</v>
      </c>
      <c r="R20" s="17">
        <v>46741</v>
      </c>
      <c r="S20" s="18">
        <v>0.8634763443438036</v>
      </c>
      <c r="T20" s="12" t="s">
        <v>176</v>
      </c>
      <c r="U20" s="12" t="s">
        <v>163</v>
      </c>
      <c r="V20" s="12" t="s">
        <v>49</v>
      </c>
      <c r="W20" s="12" t="s">
        <v>33</v>
      </c>
      <c r="X20" s="12" t="s">
        <v>34</v>
      </c>
      <c r="Y20" s="18">
        <v>0</v>
      </c>
      <c r="Z20" s="18">
        <v>0</v>
      </c>
      <c r="AA20" s="18">
        <v>0</v>
      </c>
      <c r="AB20" s="1"/>
      <c r="AD20" s="19"/>
    </row>
    <row r="21" spans="1:30" ht="75" customHeight="1" x14ac:dyDescent="0.25">
      <c r="A21" s="1"/>
      <c r="B21" s="9" t="s">
        <v>18</v>
      </c>
      <c r="C21" s="10" t="s">
        <v>46</v>
      </c>
      <c r="D21" s="11" t="s">
        <v>47</v>
      </c>
      <c r="E21" s="12" t="s">
        <v>38</v>
      </c>
      <c r="F21" s="12" t="s">
        <v>39</v>
      </c>
      <c r="G21" s="15">
        <v>7.1705900816070298E-2</v>
      </c>
      <c r="H21" s="15">
        <v>7.8958829382932902E-2</v>
      </c>
      <c r="I21" s="53">
        <v>28415638.794798002</v>
      </c>
      <c r="J21" s="13">
        <v>28521043.004150283</v>
      </c>
      <c r="K21" s="14">
        <v>2.2464451289442924E-2</v>
      </c>
      <c r="L21" s="14">
        <v>0.82297588708096447</v>
      </c>
      <c r="M21" s="14">
        <v>0.62458341501666337</v>
      </c>
      <c r="N21" s="53">
        <v>5101</v>
      </c>
      <c r="O21" s="53">
        <v>5101</v>
      </c>
      <c r="P21" s="53">
        <v>3186</v>
      </c>
      <c r="Q21" s="16">
        <v>3.3931672949447496</v>
      </c>
      <c r="R21" s="17">
        <v>47613</v>
      </c>
      <c r="S21" s="18">
        <v>0.43791843639082684</v>
      </c>
      <c r="T21" s="12" t="s">
        <v>177</v>
      </c>
      <c r="U21" s="12" t="s">
        <v>163</v>
      </c>
      <c r="V21" s="12" t="s">
        <v>116</v>
      </c>
      <c r="W21" s="12" t="s">
        <v>124</v>
      </c>
      <c r="X21" s="12" t="s">
        <v>34</v>
      </c>
      <c r="Y21" s="18">
        <v>0</v>
      </c>
      <c r="Z21" s="18">
        <v>0</v>
      </c>
      <c r="AA21" s="18">
        <v>0</v>
      </c>
      <c r="AB21" s="1"/>
      <c r="AD21" s="19"/>
    </row>
    <row r="22" spans="1:30" ht="75" customHeight="1" x14ac:dyDescent="0.25">
      <c r="A22" s="1"/>
      <c r="B22" s="9" t="s">
        <v>127</v>
      </c>
      <c r="C22" s="10" t="s">
        <v>118</v>
      </c>
      <c r="D22" s="11" t="s">
        <v>37</v>
      </c>
      <c r="E22" s="12" t="s">
        <v>31</v>
      </c>
      <c r="F22" s="12" t="s">
        <v>39</v>
      </c>
      <c r="G22" s="15">
        <v>6.9500000000000006E-2</v>
      </c>
      <c r="H22" s="15">
        <v>7.5182076908955495E-2</v>
      </c>
      <c r="I22" s="53">
        <v>27608673.038017202</v>
      </c>
      <c r="J22" s="13">
        <v>26770637.627563562</v>
      </c>
      <c r="K22" s="14">
        <v>2.1085753591978305E-2</v>
      </c>
      <c r="L22" s="14">
        <v>9.9729411764705886E-2</v>
      </c>
      <c r="M22" s="14">
        <v>7.6200000000000004E-2</v>
      </c>
      <c r="N22" s="53">
        <v>340000</v>
      </c>
      <c r="O22" s="53">
        <v>340000</v>
      </c>
      <c r="P22" s="53">
        <v>25908</v>
      </c>
      <c r="Q22" s="16">
        <v>6.0289780711624497</v>
      </c>
      <c r="R22" s="17">
        <v>50047</v>
      </c>
      <c r="S22" s="18">
        <v>0.69409682721455934</v>
      </c>
      <c r="T22" s="12" t="s">
        <v>178</v>
      </c>
      <c r="U22" s="12" t="s">
        <v>163</v>
      </c>
      <c r="V22" s="12" t="s">
        <v>115</v>
      </c>
      <c r="W22" s="12" t="s">
        <v>33</v>
      </c>
      <c r="X22" s="12" t="s">
        <v>34</v>
      </c>
      <c r="Y22" s="18">
        <v>1</v>
      </c>
      <c r="Z22" s="18">
        <v>1</v>
      </c>
      <c r="AA22" s="18">
        <v>1</v>
      </c>
      <c r="AB22" s="1"/>
      <c r="AD22" s="19"/>
    </row>
    <row r="23" spans="1:30" ht="75" customHeight="1" x14ac:dyDescent="0.25">
      <c r="A23" s="1"/>
      <c r="B23" s="9" t="s">
        <v>203</v>
      </c>
      <c r="C23" s="10" t="s">
        <v>154</v>
      </c>
      <c r="D23" s="11" t="s">
        <v>43</v>
      </c>
      <c r="E23" s="12" t="s">
        <v>40</v>
      </c>
      <c r="F23" s="12" t="s">
        <v>41</v>
      </c>
      <c r="G23" s="15">
        <v>3.5000000000000003E-2</v>
      </c>
      <c r="H23" s="15">
        <v>3.53931865583125E-2</v>
      </c>
      <c r="I23" s="53">
        <v>20259373.359999999</v>
      </c>
      <c r="J23" s="13">
        <v>20247707.331999999</v>
      </c>
      <c r="K23" s="14">
        <v>1.5948001446385449E-2</v>
      </c>
      <c r="L23" s="14">
        <v>1</v>
      </c>
      <c r="M23" s="14">
        <v>1</v>
      </c>
      <c r="N23" s="53">
        <v>50000</v>
      </c>
      <c r="O23" s="53">
        <v>20000</v>
      </c>
      <c r="P23" s="53">
        <v>20000</v>
      </c>
      <c r="Q23" s="16">
        <v>1</v>
      </c>
      <c r="R23" s="17">
        <v>45597</v>
      </c>
      <c r="S23" s="18">
        <v>0.46307139108571427</v>
      </c>
      <c r="T23" s="12" t="s">
        <v>180</v>
      </c>
      <c r="U23" s="12" t="s">
        <v>163</v>
      </c>
      <c r="V23" s="12" t="s">
        <v>115</v>
      </c>
      <c r="W23" s="12" t="s">
        <v>33</v>
      </c>
      <c r="X23" s="12" t="s">
        <v>34</v>
      </c>
      <c r="Y23" s="18">
        <v>1</v>
      </c>
      <c r="Z23" s="18">
        <v>1</v>
      </c>
      <c r="AA23" s="18">
        <v>1</v>
      </c>
      <c r="AB23" s="1"/>
      <c r="AD23" s="19"/>
    </row>
    <row r="24" spans="1:30" ht="75" customHeight="1" x14ac:dyDescent="0.25">
      <c r="A24" s="1"/>
      <c r="B24" s="9" t="s">
        <v>53</v>
      </c>
      <c r="C24" s="10" t="s">
        <v>54</v>
      </c>
      <c r="D24" s="11" t="s">
        <v>30</v>
      </c>
      <c r="E24" s="12" t="s">
        <v>52</v>
      </c>
      <c r="F24" s="12" t="s">
        <v>41</v>
      </c>
      <c r="G24" s="15">
        <v>1.2999999999999999E-2</v>
      </c>
      <c r="H24" s="15">
        <v>2.5000000000000001E-2</v>
      </c>
      <c r="I24" s="53">
        <v>21080752.845052037</v>
      </c>
      <c r="J24" s="13">
        <v>20087124.197446112</v>
      </c>
      <c r="K24" s="14">
        <v>1.5821518975054828E-2</v>
      </c>
      <c r="L24" s="14">
        <v>7.5234590356943951E-2</v>
      </c>
      <c r="M24" s="14">
        <v>7.5234590356943937E-2</v>
      </c>
      <c r="N24" s="53">
        <v>283686</v>
      </c>
      <c r="O24" s="53">
        <v>283686</v>
      </c>
      <c r="P24" s="53">
        <v>21343</v>
      </c>
      <c r="Q24" s="16">
        <v>4.6205526358914399</v>
      </c>
      <c r="R24" s="17">
        <v>49208</v>
      </c>
      <c r="S24" s="18">
        <v>0.44762858393200922</v>
      </c>
      <c r="T24" s="12" t="s">
        <v>181</v>
      </c>
      <c r="U24" s="12" t="s">
        <v>163</v>
      </c>
      <c r="V24" s="12" t="s">
        <v>50</v>
      </c>
      <c r="W24" s="12" t="s">
        <v>124</v>
      </c>
      <c r="X24" s="12" t="s">
        <v>34</v>
      </c>
      <c r="Y24" s="18">
        <v>0</v>
      </c>
      <c r="Z24" s="18">
        <v>0</v>
      </c>
      <c r="AA24" s="18">
        <v>0</v>
      </c>
      <c r="AB24" s="1"/>
      <c r="AD24" s="19"/>
    </row>
    <row r="25" spans="1:30" ht="75" customHeight="1" x14ac:dyDescent="0.25">
      <c r="A25" s="1"/>
      <c r="B25" s="9" t="s">
        <v>128</v>
      </c>
      <c r="C25" s="10" t="s">
        <v>129</v>
      </c>
      <c r="D25" s="11" t="s">
        <v>61</v>
      </c>
      <c r="E25" s="12" t="s">
        <v>62</v>
      </c>
      <c r="F25" s="12" t="s">
        <v>39</v>
      </c>
      <c r="G25" s="15">
        <v>8.1500000000000003E-2</v>
      </c>
      <c r="H25" s="15">
        <v>9.1217355183804513E-2</v>
      </c>
      <c r="I25" s="53">
        <v>15598060.915200001</v>
      </c>
      <c r="J25" s="13">
        <v>14950478.832239999</v>
      </c>
      <c r="K25" s="14">
        <v>1.177566694990189E-2</v>
      </c>
      <c r="L25" s="14">
        <v>1</v>
      </c>
      <c r="M25" s="14">
        <v>0.48000000000000004</v>
      </c>
      <c r="N25" s="53">
        <v>50000</v>
      </c>
      <c r="O25" s="53">
        <v>50000</v>
      </c>
      <c r="P25" s="53">
        <v>24000</v>
      </c>
      <c r="Q25" s="16">
        <v>2.4613710741616099</v>
      </c>
      <c r="R25" s="17">
        <v>46097</v>
      </c>
      <c r="S25" s="18">
        <v>0.65264639590837192</v>
      </c>
      <c r="T25" s="12" t="s">
        <v>182</v>
      </c>
      <c r="U25" s="12" t="s">
        <v>163</v>
      </c>
      <c r="V25" s="12" t="s">
        <v>115</v>
      </c>
      <c r="W25" s="12" t="s">
        <v>33</v>
      </c>
      <c r="X25" s="12" t="s">
        <v>34</v>
      </c>
      <c r="Y25" s="18">
        <v>1</v>
      </c>
      <c r="Z25" s="18">
        <v>1</v>
      </c>
      <c r="AA25" s="18">
        <v>0.64290481642876596</v>
      </c>
      <c r="AB25" s="1"/>
      <c r="AD25" s="19"/>
    </row>
    <row r="26" spans="1:30" ht="75" customHeight="1" x14ac:dyDescent="0.25">
      <c r="A26" s="1"/>
      <c r="B26" s="9" t="s">
        <v>157</v>
      </c>
      <c r="C26" s="10" t="s">
        <v>114</v>
      </c>
      <c r="D26" s="11" t="s">
        <v>47</v>
      </c>
      <c r="E26" s="12" t="s">
        <v>40</v>
      </c>
      <c r="F26" s="12" t="s">
        <v>39</v>
      </c>
      <c r="G26" s="15">
        <v>7.4999999999999997E-2</v>
      </c>
      <c r="H26" s="15">
        <v>8.5495732947127201E-2</v>
      </c>
      <c r="I26" s="53">
        <v>14909964.406023702</v>
      </c>
      <c r="J26" s="13">
        <v>13967420.77115008</v>
      </c>
      <c r="K26" s="14">
        <v>1.100136637734446E-2</v>
      </c>
      <c r="L26" s="14">
        <v>1</v>
      </c>
      <c r="M26" s="14">
        <v>1</v>
      </c>
      <c r="N26" s="53">
        <v>13950</v>
      </c>
      <c r="O26" s="53">
        <v>13702</v>
      </c>
      <c r="P26" s="53">
        <v>13702</v>
      </c>
      <c r="Q26" s="16">
        <v>3.60064994471858</v>
      </c>
      <c r="R26" s="17">
        <v>46373</v>
      </c>
      <c r="S26" s="18">
        <v>0.75346710268156047</v>
      </c>
      <c r="T26" s="12" t="s">
        <v>183</v>
      </c>
      <c r="U26" s="12" t="s">
        <v>163</v>
      </c>
      <c r="V26" s="12" t="s">
        <v>115</v>
      </c>
      <c r="W26" s="12" t="s">
        <v>33</v>
      </c>
      <c r="X26" s="12" t="s">
        <v>34</v>
      </c>
      <c r="Y26" s="18">
        <v>1</v>
      </c>
      <c r="Z26" s="18">
        <v>1</v>
      </c>
      <c r="AA26" s="18">
        <v>0</v>
      </c>
      <c r="AB26" s="1"/>
      <c r="AD26" s="19"/>
    </row>
    <row r="27" spans="1:30" ht="75" customHeight="1" x14ac:dyDescent="0.25">
      <c r="A27" s="1"/>
      <c r="B27" s="9" t="s">
        <v>205</v>
      </c>
      <c r="C27" s="10" t="s">
        <v>296</v>
      </c>
      <c r="D27" s="11" t="s">
        <v>37</v>
      </c>
      <c r="E27" s="12" t="s">
        <v>40</v>
      </c>
      <c r="F27" s="12" t="s">
        <v>41</v>
      </c>
      <c r="G27" s="15">
        <v>0.02</v>
      </c>
      <c r="H27" s="15">
        <v>2.9927325290000001E-2</v>
      </c>
      <c r="I27" s="53">
        <v>13395115.990971999</v>
      </c>
      <c r="J27" s="13">
        <v>13101319.971154939</v>
      </c>
      <c r="K27" s="14">
        <v>1.0319186583624884E-2</v>
      </c>
      <c r="L27" s="14">
        <v>0.82728842832469773</v>
      </c>
      <c r="M27" s="14">
        <v>0.43370156743898064</v>
      </c>
      <c r="N27" s="53">
        <v>30687</v>
      </c>
      <c r="O27" s="53">
        <v>30687</v>
      </c>
      <c r="P27" s="53">
        <v>13309</v>
      </c>
      <c r="Q27" s="16">
        <v>2.23</v>
      </c>
      <c r="R27" s="17">
        <v>46050</v>
      </c>
      <c r="S27" s="18">
        <v>0.74661179475343409</v>
      </c>
      <c r="T27" s="12" t="s">
        <v>206</v>
      </c>
      <c r="U27" s="12" t="s">
        <v>207</v>
      </c>
      <c r="V27" s="12" t="s">
        <v>115</v>
      </c>
      <c r="W27" s="12" t="s">
        <v>33</v>
      </c>
      <c r="X27" s="12" t="s">
        <v>34</v>
      </c>
      <c r="Y27" s="18">
        <v>1</v>
      </c>
      <c r="Z27" s="18">
        <v>1</v>
      </c>
      <c r="AA27" s="18">
        <v>1</v>
      </c>
      <c r="AB27" s="1"/>
      <c r="AD27" s="19"/>
    </row>
    <row r="28" spans="1:30" ht="75" customHeight="1" x14ac:dyDescent="0.25">
      <c r="A28" s="1"/>
      <c r="B28" s="9" t="s">
        <v>21</v>
      </c>
      <c r="C28" s="10" t="s">
        <v>55</v>
      </c>
      <c r="D28" s="11" t="s">
        <v>37</v>
      </c>
      <c r="E28" s="12" t="s">
        <v>40</v>
      </c>
      <c r="F28" s="12" t="s">
        <v>39</v>
      </c>
      <c r="G28" s="15">
        <v>6.8667711598746087E-2</v>
      </c>
      <c r="H28" s="15">
        <v>7.4607940839949607E-2</v>
      </c>
      <c r="I28" s="53">
        <v>12606032.046822829</v>
      </c>
      <c r="J28" s="13">
        <v>12399976.893135481</v>
      </c>
      <c r="K28" s="14">
        <v>9.7667773533220703E-3</v>
      </c>
      <c r="L28" s="14">
        <v>0.40897435897435896</v>
      </c>
      <c r="M28" s="14">
        <v>0.40897435897435896</v>
      </c>
      <c r="N28" s="53">
        <v>780</v>
      </c>
      <c r="O28" s="53">
        <v>780</v>
      </c>
      <c r="P28" s="53">
        <v>319</v>
      </c>
      <c r="Q28" s="16">
        <v>1.95942732193058</v>
      </c>
      <c r="R28" s="17">
        <v>48052.000000000007</v>
      </c>
      <c r="S28" s="18">
        <v>0.63387678933235847</v>
      </c>
      <c r="T28" s="12" t="s">
        <v>184</v>
      </c>
      <c r="U28" s="12" t="s">
        <v>163</v>
      </c>
      <c r="V28" s="12" t="s">
        <v>49</v>
      </c>
      <c r="W28" s="12" t="s">
        <v>124</v>
      </c>
      <c r="X28" s="12" t="s">
        <v>34</v>
      </c>
      <c r="Y28" s="18">
        <v>1</v>
      </c>
      <c r="Z28" s="18">
        <v>1</v>
      </c>
      <c r="AA28" s="18">
        <v>1</v>
      </c>
      <c r="AB28" s="1"/>
      <c r="AD28" s="19"/>
    </row>
    <row r="29" spans="1:30" ht="75" customHeight="1" x14ac:dyDescent="0.25">
      <c r="A29" s="1"/>
      <c r="B29" s="9" t="s">
        <v>297</v>
      </c>
      <c r="C29" s="10" t="s">
        <v>298</v>
      </c>
      <c r="D29" s="11" t="s">
        <v>30</v>
      </c>
      <c r="E29" s="12" t="s">
        <v>40</v>
      </c>
      <c r="F29" s="12" t="s">
        <v>39</v>
      </c>
      <c r="G29" s="15">
        <v>7.5999999999999998E-2</v>
      </c>
      <c r="H29" s="15">
        <v>7.6819600279999997E-2</v>
      </c>
      <c r="I29" s="53">
        <v>11803000</v>
      </c>
      <c r="J29" s="13">
        <v>11803027.80409104</v>
      </c>
      <c r="K29" s="14">
        <v>9.2965935058672358E-3</v>
      </c>
      <c r="L29" s="14">
        <v>1</v>
      </c>
      <c r="M29" s="14">
        <v>0.53649999999999998</v>
      </c>
      <c r="N29" s="53">
        <v>22000</v>
      </c>
      <c r="O29" s="53">
        <v>22000</v>
      </c>
      <c r="P29" s="53">
        <v>11803</v>
      </c>
      <c r="Q29" s="16">
        <v>4.2300000000000004</v>
      </c>
      <c r="R29" s="17">
        <v>47496</v>
      </c>
      <c r="S29" s="18">
        <v>0.46560846560846558</v>
      </c>
      <c r="T29" s="12" t="s">
        <v>208</v>
      </c>
      <c r="U29" s="12" t="s">
        <v>207</v>
      </c>
      <c r="V29" s="12" t="s">
        <v>115</v>
      </c>
      <c r="W29" s="12" t="s">
        <v>124</v>
      </c>
      <c r="X29" s="12" t="s">
        <v>34</v>
      </c>
      <c r="Y29" s="18">
        <v>1</v>
      </c>
      <c r="Z29" s="18">
        <v>0</v>
      </c>
      <c r="AA29" s="18">
        <v>0</v>
      </c>
      <c r="AB29" s="1"/>
      <c r="AD29" s="19"/>
    </row>
    <row r="30" spans="1:30" ht="75" customHeight="1" x14ac:dyDescent="0.25">
      <c r="A30" s="1"/>
      <c r="B30" s="9" t="s">
        <v>144</v>
      </c>
      <c r="C30" s="10" t="s">
        <v>145</v>
      </c>
      <c r="D30" s="11" t="s">
        <v>48</v>
      </c>
      <c r="E30" s="12" t="s">
        <v>31</v>
      </c>
      <c r="F30" s="12" t="s">
        <v>39</v>
      </c>
      <c r="G30" s="15">
        <v>8.8516999999999998E-2</v>
      </c>
      <c r="H30" s="15">
        <v>8.5326571461450312E-2</v>
      </c>
      <c r="I30" s="53">
        <v>11120094.6208196</v>
      </c>
      <c r="J30" s="13">
        <v>11241784.3853369</v>
      </c>
      <c r="K30" s="14">
        <v>8.8545330440430257E-3</v>
      </c>
      <c r="L30" s="14">
        <v>0.16630229928382961</v>
      </c>
      <c r="M30" s="14">
        <v>0.16630229928382961</v>
      </c>
      <c r="N30" s="53">
        <v>66325</v>
      </c>
      <c r="O30" s="53">
        <v>66325</v>
      </c>
      <c r="P30" s="53">
        <v>11030</v>
      </c>
      <c r="Q30" s="16">
        <v>2.2282697581417801</v>
      </c>
      <c r="R30" s="17">
        <v>46587</v>
      </c>
      <c r="S30" s="18">
        <v>0.7</v>
      </c>
      <c r="T30" s="12" t="s">
        <v>185</v>
      </c>
      <c r="U30" s="12" t="s">
        <v>163</v>
      </c>
      <c r="V30" s="12" t="s">
        <v>115</v>
      </c>
      <c r="W30" s="12" t="s">
        <v>124</v>
      </c>
      <c r="X30" s="12" t="s">
        <v>56</v>
      </c>
      <c r="Y30" s="18">
        <v>0.69168107173725146</v>
      </c>
      <c r="Z30" s="18">
        <v>0.68100691443388062</v>
      </c>
      <c r="AA30" s="18">
        <v>0.17128349178910979</v>
      </c>
      <c r="AB30" s="1"/>
      <c r="AD30" s="19"/>
    </row>
    <row r="31" spans="1:30" ht="75" customHeight="1" x14ac:dyDescent="0.25">
      <c r="A31" s="1"/>
      <c r="B31" s="9" t="s">
        <v>108</v>
      </c>
      <c r="C31" s="10" t="s">
        <v>109</v>
      </c>
      <c r="D31" s="11" t="s">
        <v>110</v>
      </c>
      <c r="E31" s="12" t="s">
        <v>38</v>
      </c>
      <c r="F31" s="12" t="s">
        <v>39</v>
      </c>
      <c r="G31" s="15">
        <v>5.6999999999999995E-2</v>
      </c>
      <c r="H31" s="15">
        <v>6.3576053780804095E-2</v>
      </c>
      <c r="I31" s="53">
        <v>9738386.1486505121</v>
      </c>
      <c r="J31" s="13">
        <v>9427821.6701638196</v>
      </c>
      <c r="K31" s="14">
        <v>7.4257747391682175E-3</v>
      </c>
      <c r="L31" s="14">
        <v>3.5192000000000001E-2</v>
      </c>
      <c r="M31" s="14">
        <v>3.5192000000000001E-2</v>
      </c>
      <c r="N31" s="53">
        <v>250000</v>
      </c>
      <c r="O31" s="53">
        <v>250000</v>
      </c>
      <c r="P31" s="53">
        <v>8798</v>
      </c>
      <c r="Q31" s="16">
        <v>3.8187769109564806</v>
      </c>
      <c r="R31" s="17">
        <v>47379</v>
      </c>
      <c r="S31" s="18" t="s">
        <v>137</v>
      </c>
      <c r="T31" s="12" t="s">
        <v>187</v>
      </c>
      <c r="U31" s="12" t="s">
        <v>163</v>
      </c>
      <c r="V31" s="12" t="s">
        <v>44</v>
      </c>
      <c r="W31" s="12" t="s">
        <v>33</v>
      </c>
      <c r="X31" s="12" t="s">
        <v>56</v>
      </c>
      <c r="Y31" s="18">
        <v>0</v>
      </c>
      <c r="Z31" s="18">
        <v>0</v>
      </c>
      <c r="AA31" s="18">
        <v>0</v>
      </c>
      <c r="AB31" s="1"/>
      <c r="AD31" s="19"/>
    </row>
    <row r="32" spans="1:30" ht="75" customHeight="1" x14ac:dyDescent="0.25">
      <c r="A32" s="1"/>
      <c r="B32" s="9" t="s">
        <v>45</v>
      </c>
      <c r="C32" s="10" t="s">
        <v>141</v>
      </c>
      <c r="D32" s="11" t="s">
        <v>30</v>
      </c>
      <c r="E32" s="12" t="s">
        <v>40</v>
      </c>
      <c r="F32" s="12" t="s">
        <v>41</v>
      </c>
      <c r="G32" s="15">
        <v>3.5000000000000003E-2</v>
      </c>
      <c r="H32" s="15">
        <v>3.5000000000000003E-2</v>
      </c>
      <c r="I32" s="53">
        <v>9065950.5935713444</v>
      </c>
      <c r="J32" s="13">
        <v>9065961.3381752688</v>
      </c>
      <c r="K32" s="14">
        <v>7.1407573293786964E-3</v>
      </c>
      <c r="L32" s="14">
        <v>1</v>
      </c>
      <c r="M32" s="14">
        <v>0.26862419796518017</v>
      </c>
      <c r="N32" s="53">
        <v>59102</v>
      </c>
      <c r="O32" s="53">
        <v>50029</v>
      </c>
      <c r="P32" s="53">
        <v>13439</v>
      </c>
      <c r="Q32" s="16">
        <v>1.34858048239396</v>
      </c>
      <c r="R32" s="17">
        <v>45677</v>
      </c>
      <c r="S32" s="18">
        <v>0.72234350994607188</v>
      </c>
      <c r="T32" s="12" t="s">
        <v>188</v>
      </c>
      <c r="U32" s="12" t="s">
        <v>163</v>
      </c>
      <c r="V32" s="12" t="s">
        <v>115</v>
      </c>
      <c r="W32" s="12" t="s">
        <v>33</v>
      </c>
      <c r="X32" s="12" t="s">
        <v>34</v>
      </c>
      <c r="Y32" s="18">
        <v>1</v>
      </c>
      <c r="Z32" s="18">
        <v>1</v>
      </c>
      <c r="AA32" s="18">
        <v>0.5719391055313946</v>
      </c>
      <c r="AB32" s="1"/>
      <c r="AD32" s="19"/>
    </row>
    <row r="33" spans="1:30" ht="75" customHeight="1" x14ac:dyDescent="0.25">
      <c r="A33" s="1"/>
      <c r="B33" s="9" t="s">
        <v>23</v>
      </c>
      <c r="C33" s="10" t="s">
        <v>59</v>
      </c>
      <c r="D33" s="11" t="s">
        <v>30</v>
      </c>
      <c r="E33" s="12" t="s">
        <v>31</v>
      </c>
      <c r="F33" s="12" t="s">
        <v>39</v>
      </c>
      <c r="G33" s="15">
        <v>6.0000000000000005E-2</v>
      </c>
      <c r="H33" s="15">
        <v>8.0203958449231602E-2</v>
      </c>
      <c r="I33" s="53">
        <v>9696397.1158588808</v>
      </c>
      <c r="J33" s="13">
        <v>8800414.1398782004</v>
      </c>
      <c r="K33" s="14">
        <v>6.9316004587718092E-3</v>
      </c>
      <c r="L33" s="14">
        <v>5.9339192346200914E-2</v>
      </c>
      <c r="M33" s="14">
        <v>5.9339192346200914E-2</v>
      </c>
      <c r="N33" s="53">
        <v>179780</v>
      </c>
      <c r="O33" s="53">
        <v>179780</v>
      </c>
      <c r="P33" s="53">
        <v>10668</v>
      </c>
      <c r="Q33" s="16">
        <v>5.2362508732958704</v>
      </c>
      <c r="R33" s="17">
        <v>49151</v>
      </c>
      <c r="S33" s="18">
        <v>0.60454878670082446</v>
      </c>
      <c r="T33" s="12" t="s">
        <v>189</v>
      </c>
      <c r="U33" s="12" t="s">
        <v>163</v>
      </c>
      <c r="V33" s="12" t="s">
        <v>50</v>
      </c>
      <c r="W33" s="12" t="s">
        <v>124</v>
      </c>
      <c r="X33" s="12" t="s">
        <v>34</v>
      </c>
      <c r="Y33" s="18">
        <v>1</v>
      </c>
      <c r="Z33" s="18">
        <v>0</v>
      </c>
      <c r="AA33" s="18">
        <v>0</v>
      </c>
      <c r="AB33" s="1"/>
      <c r="AD33" s="19"/>
    </row>
    <row r="34" spans="1:30" ht="75" customHeight="1" x14ac:dyDescent="0.25">
      <c r="A34" s="1"/>
      <c r="B34" s="9" t="s">
        <v>19</v>
      </c>
      <c r="C34" s="10" t="s">
        <v>51</v>
      </c>
      <c r="D34" s="11" t="s">
        <v>48</v>
      </c>
      <c r="E34" s="12" t="s">
        <v>52</v>
      </c>
      <c r="F34" s="12" t="s">
        <v>41</v>
      </c>
      <c r="G34" s="15">
        <v>1.4999999999999999E-2</v>
      </c>
      <c r="H34" s="15">
        <v>0.03</v>
      </c>
      <c r="I34" s="53">
        <v>8756770.4583542086</v>
      </c>
      <c r="J34" s="13">
        <v>8345693.4579824815</v>
      </c>
      <c r="K34" s="14">
        <v>6.5734420770021725E-3</v>
      </c>
      <c r="L34" s="14">
        <v>5.3234449760765551E-2</v>
      </c>
      <c r="M34" s="14">
        <v>5.3234449760765544E-2</v>
      </c>
      <c r="N34" s="53">
        <v>209000</v>
      </c>
      <c r="O34" s="53">
        <v>209000</v>
      </c>
      <c r="P34" s="53">
        <v>11126</v>
      </c>
      <c r="Q34" s="16">
        <v>3.4107662689185001</v>
      </c>
      <c r="R34" s="17">
        <v>48061</v>
      </c>
      <c r="S34" s="18">
        <v>0.45444634805892742</v>
      </c>
      <c r="T34" s="12" t="s">
        <v>179</v>
      </c>
      <c r="U34" s="12" t="s">
        <v>163</v>
      </c>
      <c r="V34" s="12" t="s">
        <v>44</v>
      </c>
      <c r="W34" s="12" t="s">
        <v>124</v>
      </c>
      <c r="X34" s="12" t="s">
        <v>34</v>
      </c>
      <c r="Y34" s="18">
        <v>0.32212910949442858</v>
      </c>
      <c r="Z34" s="18">
        <v>0</v>
      </c>
      <c r="AA34" s="18">
        <v>0</v>
      </c>
      <c r="AB34" s="1"/>
      <c r="AD34" s="19"/>
    </row>
    <row r="35" spans="1:30" ht="75" customHeight="1" x14ac:dyDescent="0.25">
      <c r="A35" s="1"/>
      <c r="B35" s="9" t="s">
        <v>151</v>
      </c>
      <c r="C35" s="10" t="s">
        <v>152</v>
      </c>
      <c r="D35" s="11" t="s">
        <v>153</v>
      </c>
      <c r="E35" s="12" t="s">
        <v>62</v>
      </c>
      <c r="F35" s="12" t="s">
        <v>39</v>
      </c>
      <c r="G35" s="15">
        <v>7.6600000000000015E-2</v>
      </c>
      <c r="H35" s="15">
        <v>7.8491999999999992E-2</v>
      </c>
      <c r="I35" s="53">
        <v>8676259.9652880803</v>
      </c>
      <c r="J35" s="13">
        <v>8072464.3402405204</v>
      </c>
      <c r="K35" s="14">
        <v>6.3582345824698527E-3</v>
      </c>
      <c r="L35" s="14">
        <v>1.2175E-2</v>
      </c>
      <c r="M35" s="14">
        <v>1.07525E-2</v>
      </c>
      <c r="N35" s="53">
        <v>800000</v>
      </c>
      <c r="O35" s="53">
        <v>800000</v>
      </c>
      <c r="P35" s="53">
        <v>8602</v>
      </c>
      <c r="Q35" s="16">
        <v>5</v>
      </c>
      <c r="R35" s="17">
        <v>49138</v>
      </c>
      <c r="S35" s="18" t="s">
        <v>137</v>
      </c>
      <c r="T35" s="12" t="s">
        <v>190</v>
      </c>
      <c r="U35" s="12" t="s">
        <v>191</v>
      </c>
      <c r="V35" s="12" t="s">
        <v>49</v>
      </c>
      <c r="W35" s="12" t="s">
        <v>33</v>
      </c>
      <c r="X35" s="12" t="s">
        <v>56</v>
      </c>
      <c r="Y35" s="18">
        <v>0</v>
      </c>
      <c r="Z35" s="18">
        <v>0</v>
      </c>
      <c r="AA35" s="18">
        <v>0</v>
      </c>
      <c r="AB35" s="1"/>
      <c r="AD35" s="19"/>
    </row>
    <row r="36" spans="1:30" ht="75" customHeight="1" x14ac:dyDescent="0.25">
      <c r="A36" s="1"/>
      <c r="B36" s="9" t="s">
        <v>146</v>
      </c>
      <c r="C36" s="10" t="s">
        <v>147</v>
      </c>
      <c r="D36" s="11" t="s">
        <v>30</v>
      </c>
      <c r="E36" s="12" t="s">
        <v>40</v>
      </c>
      <c r="F36" s="12" t="s">
        <v>39</v>
      </c>
      <c r="G36" s="15">
        <v>6.4899999999999999E-2</v>
      </c>
      <c r="H36" s="15">
        <v>7.3759727743966302E-2</v>
      </c>
      <c r="I36" s="53">
        <v>8196222.2449837206</v>
      </c>
      <c r="J36" s="13">
        <v>7764591.9841775401</v>
      </c>
      <c r="K36" s="14">
        <v>6.1157405213257202E-3</v>
      </c>
      <c r="L36" s="14">
        <v>2.6859999999999998E-2</v>
      </c>
      <c r="M36" s="14">
        <v>2.6859999999999998E-2</v>
      </c>
      <c r="N36" s="53">
        <v>300000</v>
      </c>
      <c r="O36" s="53">
        <v>300000</v>
      </c>
      <c r="P36" s="53">
        <v>8058</v>
      </c>
      <c r="Q36" s="16">
        <v>6</v>
      </c>
      <c r="R36" s="17">
        <v>48380</v>
      </c>
      <c r="S36" s="18" t="s">
        <v>137</v>
      </c>
      <c r="T36" s="12" t="s">
        <v>192</v>
      </c>
      <c r="U36" s="12" t="s">
        <v>191</v>
      </c>
      <c r="V36" s="12" t="s">
        <v>49</v>
      </c>
      <c r="W36" s="12" t="s">
        <v>33</v>
      </c>
      <c r="X36" s="12" t="s">
        <v>56</v>
      </c>
      <c r="Y36" s="18">
        <v>0</v>
      </c>
      <c r="Z36" s="18">
        <v>0</v>
      </c>
      <c r="AA36" s="18">
        <v>0</v>
      </c>
      <c r="AB36" s="1"/>
      <c r="AD36" s="19"/>
    </row>
    <row r="37" spans="1:30" ht="75" customHeight="1" x14ac:dyDescent="0.25">
      <c r="A37" s="1"/>
      <c r="B37" s="9" t="s">
        <v>24</v>
      </c>
      <c r="C37" s="10" t="s">
        <v>60</v>
      </c>
      <c r="D37" s="11" t="s">
        <v>48</v>
      </c>
      <c r="E37" s="12" t="s">
        <v>38</v>
      </c>
      <c r="F37" s="12" t="s">
        <v>39</v>
      </c>
      <c r="G37" s="15">
        <v>0.06</v>
      </c>
      <c r="H37" s="15">
        <v>7.4183156386969692E-2</v>
      </c>
      <c r="I37" s="53">
        <v>7404833.3583065402</v>
      </c>
      <c r="J37" s="13">
        <v>7290429.5424081804</v>
      </c>
      <c r="K37" s="14">
        <v>5.7422689384365152E-3</v>
      </c>
      <c r="L37" s="14">
        <v>7.1635550369506029E-2</v>
      </c>
      <c r="M37" s="14">
        <v>7.1635550369506029E-2</v>
      </c>
      <c r="N37" s="53">
        <v>102840</v>
      </c>
      <c r="O37" s="53">
        <v>102840</v>
      </c>
      <c r="P37" s="53">
        <v>7367</v>
      </c>
      <c r="Q37" s="16">
        <v>5.4362531030711709</v>
      </c>
      <c r="R37" s="17">
        <v>49334</v>
      </c>
      <c r="S37" s="18">
        <v>0.65596872116741878</v>
      </c>
      <c r="T37" s="12" t="s">
        <v>193</v>
      </c>
      <c r="U37" s="12" t="s">
        <v>163</v>
      </c>
      <c r="V37" s="12" t="s">
        <v>115</v>
      </c>
      <c r="W37" s="12" t="s">
        <v>33</v>
      </c>
      <c r="X37" s="12" t="s">
        <v>34</v>
      </c>
      <c r="Y37" s="18">
        <v>0.91561794214775938</v>
      </c>
      <c r="Z37" s="18">
        <v>0</v>
      </c>
      <c r="AA37" s="18">
        <v>0</v>
      </c>
      <c r="AB37" s="1"/>
      <c r="AD37" s="19"/>
    </row>
    <row r="38" spans="1:30" ht="75" customHeight="1" x14ac:dyDescent="0.25">
      <c r="A38" s="1"/>
      <c r="B38" s="9" t="s">
        <v>132</v>
      </c>
      <c r="C38" s="10" t="s">
        <v>133</v>
      </c>
      <c r="D38" s="11" t="s">
        <v>37</v>
      </c>
      <c r="E38" s="12" t="s">
        <v>38</v>
      </c>
      <c r="F38" s="12" t="s">
        <v>39</v>
      </c>
      <c r="G38" s="15">
        <v>6.3E-2</v>
      </c>
      <c r="H38" s="15">
        <v>7.4145027194153904E-2</v>
      </c>
      <c r="I38" s="53">
        <v>7454666.6951400004</v>
      </c>
      <c r="J38" s="13">
        <v>7126290.5105699999</v>
      </c>
      <c r="K38" s="14">
        <v>5.6129856830910299E-3</v>
      </c>
      <c r="L38" s="14">
        <v>2.3333333333333334E-2</v>
      </c>
      <c r="M38" s="14">
        <v>2.3333333333333331E-2</v>
      </c>
      <c r="N38" s="53">
        <v>300000</v>
      </c>
      <c r="O38" s="53">
        <v>300000</v>
      </c>
      <c r="P38" s="53">
        <v>7000</v>
      </c>
      <c r="Q38" s="16">
        <v>4.54053168223182</v>
      </c>
      <c r="R38" s="17">
        <v>47192</v>
      </c>
      <c r="S38" s="18" t="s">
        <v>137</v>
      </c>
      <c r="T38" s="12" t="s">
        <v>194</v>
      </c>
      <c r="U38" s="12" t="s">
        <v>163</v>
      </c>
      <c r="V38" s="12">
        <v>0</v>
      </c>
      <c r="W38" s="12" t="s">
        <v>33</v>
      </c>
      <c r="X38" s="12" t="s">
        <v>56</v>
      </c>
      <c r="Y38" s="18">
        <v>0</v>
      </c>
      <c r="Z38" s="18">
        <v>0</v>
      </c>
      <c r="AA38" s="18">
        <v>0</v>
      </c>
      <c r="AB38" s="1"/>
      <c r="AD38" s="19"/>
    </row>
    <row r="39" spans="1:30" ht="75" customHeight="1" x14ac:dyDescent="0.25">
      <c r="A39" s="1"/>
      <c r="B39" s="9" t="s">
        <v>119</v>
      </c>
      <c r="C39" s="10" t="s">
        <v>65</v>
      </c>
      <c r="D39" s="11" t="s">
        <v>37</v>
      </c>
      <c r="E39" s="12" t="s">
        <v>40</v>
      </c>
      <c r="F39" s="12" t="s">
        <v>39</v>
      </c>
      <c r="G39" s="15">
        <v>6.6000000000000003E-2</v>
      </c>
      <c r="H39" s="15">
        <v>7.4700735646934899E-2</v>
      </c>
      <c r="I39" s="53">
        <v>7048629.6993085407</v>
      </c>
      <c r="J39" s="13">
        <v>6990792.0953095891</v>
      </c>
      <c r="K39" s="14">
        <v>5.5062610605387877E-3</v>
      </c>
      <c r="L39" s="14">
        <v>9.5757142857142864E-3</v>
      </c>
      <c r="M39" s="14">
        <v>9.5757142857142864E-3</v>
      </c>
      <c r="N39" s="53">
        <v>700000</v>
      </c>
      <c r="O39" s="53">
        <v>700000</v>
      </c>
      <c r="P39" s="53">
        <v>6703</v>
      </c>
      <c r="Q39" s="16">
        <v>4.9949118754665802</v>
      </c>
      <c r="R39" s="17">
        <v>47164</v>
      </c>
      <c r="S39" s="18" t="s">
        <v>137</v>
      </c>
      <c r="T39" s="12" t="s">
        <v>195</v>
      </c>
      <c r="U39" s="12" t="s">
        <v>163</v>
      </c>
      <c r="V39" s="12" t="s">
        <v>120</v>
      </c>
      <c r="W39" s="12" t="s">
        <v>33</v>
      </c>
      <c r="X39" s="12" t="s">
        <v>56</v>
      </c>
      <c r="Y39" s="18">
        <v>0</v>
      </c>
      <c r="Z39" s="18">
        <v>0</v>
      </c>
      <c r="AA39" s="18">
        <v>0</v>
      </c>
      <c r="AB39" s="1"/>
      <c r="AD39" s="19"/>
    </row>
    <row r="40" spans="1:30" ht="75" customHeight="1" x14ac:dyDescent="0.25">
      <c r="A40" s="1"/>
      <c r="B40" s="9" t="s">
        <v>22</v>
      </c>
      <c r="C40" s="10" t="s">
        <v>58</v>
      </c>
      <c r="D40" s="11" t="s">
        <v>48</v>
      </c>
      <c r="E40" s="12" t="s">
        <v>40</v>
      </c>
      <c r="F40" s="12" t="s">
        <v>39</v>
      </c>
      <c r="G40" s="15">
        <v>6.3397999999999996E-2</v>
      </c>
      <c r="H40" s="15">
        <v>8.89753639385122E-2</v>
      </c>
      <c r="I40" s="53">
        <v>7325225.2738276003</v>
      </c>
      <c r="J40" s="13">
        <v>6952976.7082846994</v>
      </c>
      <c r="K40" s="14">
        <v>5.4764759674870208E-3</v>
      </c>
      <c r="L40" s="14">
        <v>5.6412556053811659E-2</v>
      </c>
      <c r="M40" s="14">
        <v>5.6412556053811659E-2</v>
      </c>
      <c r="N40" s="53">
        <v>111500</v>
      </c>
      <c r="O40" s="53">
        <v>111500</v>
      </c>
      <c r="P40" s="53">
        <v>6290</v>
      </c>
      <c r="Q40" s="16">
        <v>2.1015749900620802</v>
      </c>
      <c r="R40" s="17">
        <v>46068</v>
      </c>
      <c r="S40" s="18" t="s">
        <v>137</v>
      </c>
      <c r="T40" s="12" t="s">
        <v>196</v>
      </c>
      <c r="U40" s="12" t="s">
        <v>163</v>
      </c>
      <c r="V40" s="12" t="s">
        <v>116</v>
      </c>
      <c r="W40" s="12" t="s">
        <v>33</v>
      </c>
      <c r="X40" s="12" t="s">
        <v>56</v>
      </c>
      <c r="Y40" s="18">
        <v>0</v>
      </c>
      <c r="Z40" s="18">
        <v>0</v>
      </c>
      <c r="AA40" s="18">
        <v>0</v>
      </c>
      <c r="AB40" s="1"/>
      <c r="AD40" s="19"/>
    </row>
    <row r="41" spans="1:30" ht="75" customHeight="1" x14ac:dyDescent="0.25">
      <c r="A41" s="1"/>
      <c r="B41" s="9" t="s">
        <v>25</v>
      </c>
      <c r="C41" s="10" t="s">
        <v>60</v>
      </c>
      <c r="D41" s="11" t="s">
        <v>48</v>
      </c>
      <c r="E41" s="12" t="s">
        <v>38</v>
      </c>
      <c r="F41" s="12" t="s">
        <v>39</v>
      </c>
      <c r="G41" s="15">
        <v>0.06</v>
      </c>
      <c r="H41" s="15">
        <v>7.4215015105907098E-2</v>
      </c>
      <c r="I41" s="53">
        <v>6913322.0901903594</v>
      </c>
      <c r="J41" s="13">
        <v>6805470.7680163402</v>
      </c>
      <c r="K41" s="14">
        <v>5.3602936802691287E-3</v>
      </c>
      <c r="L41" s="14">
        <v>6.6880591209646054E-2</v>
      </c>
      <c r="M41" s="14">
        <v>6.6880591209646054E-2</v>
      </c>
      <c r="N41" s="53">
        <v>102840</v>
      </c>
      <c r="O41" s="53">
        <v>102840</v>
      </c>
      <c r="P41" s="53">
        <v>6878</v>
      </c>
      <c r="Q41" s="16">
        <v>5.4362531030711692</v>
      </c>
      <c r="R41" s="17">
        <v>49334</v>
      </c>
      <c r="S41" s="18">
        <v>0.65596872116741889</v>
      </c>
      <c r="T41" s="12" t="s">
        <v>197</v>
      </c>
      <c r="U41" s="12" t="s">
        <v>163</v>
      </c>
      <c r="V41" s="12" t="s">
        <v>115</v>
      </c>
      <c r="W41" s="12" t="s">
        <v>33</v>
      </c>
      <c r="X41" s="12" t="s">
        <v>34</v>
      </c>
      <c r="Y41" s="18">
        <v>0.91561794214775949</v>
      </c>
      <c r="Z41" s="18">
        <v>0</v>
      </c>
      <c r="AA41" s="18">
        <v>0</v>
      </c>
      <c r="AB41" s="1"/>
      <c r="AD41" s="19"/>
    </row>
    <row r="42" spans="1:30" ht="75" customHeight="1" x14ac:dyDescent="0.25">
      <c r="A42" s="1"/>
      <c r="B42" s="9" t="s">
        <v>209</v>
      </c>
      <c r="C42" s="10" t="s">
        <v>210</v>
      </c>
      <c r="D42" s="11" t="s">
        <v>48</v>
      </c>
      <c r="E42" s="12" t="s">
        <v>40</v>
      </c>
      <c r="F42" s="12" t="s">
        <v>41</v>
      </c>
      <c r="G42" s="15">
        <v>3.5000000000000003E-2</v>
      </c>
      <c r="H42" s="15">
        <v>3.5000000000000003E-2</v>
      </c>
      <c r="I42" s="53">
        <v>5944730.9489190001</v>
      </c>
      <c r="J42" s="13">
        <v>5932512.2644199999</v>
      </c>
      <c r="K42" s="14">
        <v>4.6727124519496972E-3</v>
      </c>
      <c r="L42" s="14">
        <v>1</v>
      </c>
      <c r="M42" s="14">
        <v>0.126</v>
      </c>
      <c r="N42" s="53">
        <v>50000</v>
      </c>
      <c r="O42" s="53">
        <v>50000</v>
      </c>
      <c r="P42" s="53">
        <v>6300</v>
      </c>
      <c r="Q42" s="16">
        <v>1.03418600594208</v>
      </c>
      <c r="R42" s="17">
        <v>45649</v>
      </c>
      <c r="S42" s="18">
        <v>0.47991607059443769</v>
      </c>
      <c r="T42" s="12" t="s">
        <v>211</v>
      </c>
      <c r="U42" s="12" t="s">
        <v>163</v>
      </c>
      <c r="V42" s="12" t="s">
        <v>115</v>
      </c>
      <c r="W42" s="12" t="s">
        <v>33</v>
      </c>
      <c r="X42" s="12" t="s">
        <v>34</v>
      </c>
      <c r="Y42" s="18">
        <v>1</v>
      </c>
      <c r="Z42" s="18">
        <v>1</v>
      </c>
      <c r="AA42" s="18">
        <v>0.91218055584463453</v>
      </c>
      <c r="AB42" s="1"/>
      <c r="AD42" s="19"/>
    </row>
    <row r="43" spans="1:30" ht="75" customHeight="1" x14ac:dyDescent="0.25">
      <c r="A43" s="1"/>
      <c r="B43" s="9" t="s">
        <v>142</v>
      </c>
      <c r="C43" s="10" t="s">
        <v>143</v>
      </c>
      <c r="D43" s="11" t="s">
        <v>48</v>
      </c>
      <c r="E43" s="12" t="s">
        <v>38</v>
      </c>
      <c r="F43" s="12" t="s">
        <v>39</v>
      </c>
      <c r="G43" s="15">
        <v>7.3999999999999996E-2</v>
      </c>
      <c r="H43" s="15">
        <v>7.2663983778114394E-2</v>
      </c>
      <c r="I43" s="53">
        <v>4683234.3155677998</v>
      </c>
      <c r="J43" s="13">
        <v>4712169.8420159202</v>
      </c>
      <c r="K43" s="14">
        <v>3.7115160854441671E-3</v>
      </c>
      <c r="L43" s="14">
        <v>0.30547457627118646</v>
      </c>
      <c r="M43" s="14">
        <v>8.0881355932203386E-2</v>
      </c>
      <c r="N43" s="53">
        <v>59000</v>
      </c>
      <c r="O43" s="53">
        <v>59000</v>
      </c>
      <c r="P43" s="53">
        <v>4772</v>
      </c>
      <c r="Q43" s="16">
        <v>5.0785569741304402</v>
      </c>
      <c r="R43" s="17">
        <v>49135</v>
      </c>
      <c r="S43" s="18">
        <v>0.59387199823435888</v>
      </c>
      <c r="T43" s="12" t="s">
        <v>186</v>
      </c>
      <c r="U43" s="12" t="s">
        <v>163</v>
      </c>
      <c r="V43" s="12" t="s">
        <v>116</v>
      </c>
      <c r="W43" s="12" t="s">
        <v>124</v>
      </c>
      <c r="X43" s="12" t="s">
        <v>34</v>
      </c>
      <c r="Y43" s="18">
        <v>1</v>
      </c>
      <c r="Z43" s="18">
        <v>0</v>
      </c>
      <c r="AA43" s="18">
        <v>0</v>
      </c>
      <c r="AB43" s="1"/>
      <c r="AD43" s="19"/>
    </row>
    <row r="44" spans="1:30" ht="75" customHeight="1" x14ac:dyDescent="0.25">
      <c r="A44" s="1"/>
      <c r="B44" s="9" t="s">
        <v>20</v>
      </c>
      <c r="C44" s="10" t="s">
        <v>57</v>
      </c>
      <c r="D44" s="11" t="s">
        <v>48</v>
      </c>
      <c r="E44" s="12" t="s">
        <v>38</v>
      </c>
      <c r="F44" s="12" t="s">
        <v>39</v>
      </c>
      <c r="G44" s="15">
        <v>5.6000000000000001E-2</v>
      </c>
      <c r="H44" s="15">
        <v>7.5036486358418295E-2</v>
      </c>
      <c r="I44" s="53">
        <v>5053871.1471499354</v>
      </c>
      <c r="J44" s="13">
        <v>4574980.9195371903</v>
      </c>
      <c r="K44" s="14">
        <v>3.6034599436675103E-3</v>
      </c>
      <c r="L44" s="14">
        <v>5.7989846840758273E-2</v>
      </c>
      <c r="M44" s="14">
        <v>4.6103364507422431E-2</v>
      </c>
      <c r="N44" s="53">
        <v>98160580</v>
      </c>
      <c r="O44" s="53">
        <v>98160580</v>
      </c>
      <c r="P44" s="53">
        <v>4525533</v>
      </c>
      <c r="Q44" s="16">
        <v>5.8335701992599596</v>
      </c>
      <c r="R44" s="17">
        <v>49669</v>
      </c>
      <c r="S44" s="18">
        <v>0.73615903658991066</v>
      </c>
      <c r="T44" s="12" t="s">
        <v>198</v>
      </c>
      <c r="U44" s="12" t="s">
        <v>163</v>
      </c>
      <c r="V44" s="12" t="s">
        <v>49</v>
      </c>
      <c r="W44" s="12" t="s">
        <v>33</v>
      </c>
      <c r="X44" s="12" t="s">
        <v>34</v>
      </c>
      <c r="Y44" s="18">
        <v>1</v>
      </c>
      <c r="Z44" s="18">
        <v>0.26942771084337352</v>
      </c>
      <c r="AA44" s="18">
        <v>0</v>
      </c>
      <c r="AB44" s="1"/>
      <c r="AD44" s="19"/>
    </row>
    <row r="45" spans="1:30" ht="75" customHeight="1" x14ac:dyDescent="0.25">
      <c r="A45" s="1"/>
      <c r="B45" s="9" t="s">
        <v>105</v>
      </c>
      <c r="C45" s="10" t="s">
        <v>63</v>
      </c>
      <c r="D45" s="11" t="s">
        <v>64</v>
      </c>
      <c r="E45" s="12" t="s">
        <v>62</v>
      </c>
      <c r="F45" s="12" t="s">
        <v>39</v>
      </c>
      <c r="G45" s="15">
        <v>4.99E-2</v>
      </c>
      <c r="H45" s="15">
        <v>7.3056999999999997E-2</v>
      </c>
      <c r="I45" s="53">
        <v>5607087.9144000001</v>
      </c>
      <c r="J45" s="13">
        <v>4561541.5785360401</v>
      </c>
      <c r="K45" s="14">
        <v>3.5928745165764104E-3</v>
      </c>
      <c r="L45" s="14">
        <v>3.2293333333333332E-3</v>
      </c>
      <c r="M45" s="14">
        <v>3.2293333333333336E-3</v>
      </c>
      <c r="N45" s="53">
        <v>1500000</v>
      </c>
      <c r="O45" s="53">
        <v>1500000</v>
      </c>
      <c r="P45" s="53">
        <v>4844</v>
      </c>
      <c r="Q45" s="16">
        <v>10</v>
      </c>
      <c r="R45" s="17">
        <v>49810</v>
      </c>
      <c r="S45" s="18" t="s">
        <v>137</v>
      </c>
      <c r="T45" s="12" t="s">
        <v>199</v>
      </c>
      <c r="U45" s="12" t="s">
        <v>191</v>
      </c>
      <c r="V45" s="12" t="s">
        <v>115</v>
      </c>
      <c r="W45" s="12" t="s">
        <v>33</v>
      </c>
      <c r="X45" s="12" t="s">
        <v>56</v>
      </c>
      <c r="Y45" s="18">
        <v>0</v>
      </c>
      <c r="Z45" s="18">
        <v>0</v>
      </c>
      <c r="AA45" s="18">
        <v>0</v>
      </c>
      <c r="AB45" s="1"/>
      <c r="AD45" s="19"/>
    </row>
    <row r="46" spans="1:30" ht="75" customHeight="1" x14ac:dyDescent="0.25">
      <c r="A46" s="1"/>
      <c r="B46" s="9" t="s">
        <v>26</v>
      </c>
      <c r="C46" s="10" t="s">
        <v>212</v>
      </c>
      <c r="D46" s="11" t="s">
        <v>64</v>
      </c>
      <c r="E46" s="12" t="s">
        <v>40</v>
      </c>
      <c r="F46" s="12" t="s">
        <v>39</v>
      </c>
      <c r="G46" s="15">
        <v>5.4328000000000001E-2</v>
      </c>
      <c r="H46" s="15">
        <v>7.4482021908746698E-2</v>
      </c>
      <c r="I46" s="53">
        <v>4968573.2048535505</v>
      </c>
      <c r="J46" s="13">
        <v>4357970.9459119402</v>
      </c>
      <c r="K46" s="14">
        <v>3.4325331658102511E-3</v>
      </c>
      <c r="L46" s="14">
        <v>1.0677499999999999E-2</v>
      </c>
      <c r="M46" s="14">
        <v>1.0677499999999999E-2</v>
      </c>
      <c r="N46" s="53">
        <v>400000</v>
      </c>
      <c r="O46" s="53">
        <v>400000</v>
      </c>
      <c r="P46" s="53">
        <v>4271</v>
      </c>
      <c r="Q46" s="16">
        <v>6.12401709531101</v>
      </c>
      <c r="R46" s="17">
        <v>47955</v>
      </c>
      <c r="S46" s="18" t="s">
        <v>137</v>
      </c>
      <c r="T46" s="12" t="s">
        <v>200</v>
      </c>
      <c r="U46" s="12" t="s">
        <v>163</v>
      </c>
      <c r="V46" s="12" t="s">
        <v>49</v>
      </c>
      <c r="W46" s="12" t="s">
        <v>33</v>
      </c>
      <c r="X46" s="12" t="s">
        <v>56</v>
      </c>
      <c r="Y46" s="18">
        <v>0</v>
      </c>
      <c r="Z46" s="18">
        <v>0</v>
      </c>
      <c r="AA46" s="18">
        <v>0</v>
      </c>
      <c r="AB46" s="1"/>
      <c r="AD46" s="19"/>
    </row>
    <row r="47" spans="1:30" ht="75" customHeight="1" x14ac:dyDescent="0.25">
      <c r="A47" s="1"/>
      <c r="B47" s="9" t="s">
        <v>27</v>
      </c>
      <c r="C47" s="10" t="s">
        <v>66</v>
      </c>
      <c r="D47" s="11" t="s">
        <v>30</v>
      </c>
      <c r="E47" s="12" t="s">
        <v>40</v>
      </c>
      <c r="F47" s="12" t="s">
        <v>39</v>
      </c>
      <c r="G47" s="15">
        <v>6.5000000000000002E-2</v>
      </c>
      <c r="H47" s="15">
        <v>9.1695127012208777E-2</v>
      </c>
      <c r="I47" s="53">
        <v>3094461.0737135597</v>
      </c>
      <c r="J47" s="13">
        <v>3022462.84587928</v>
      </c>
      <c r="K47" s="14">
        <v>2.3806271518725963E-3</v>
      </c>
      <c r="L47" s="14">
        <v>0.4135061919504644</v>
      </c>
      <c r="M47" s="14">
        <v>0.4135061919504644</v>
      </c>
      <c r="N47" s="53">
        <v>20672</v>
      </c>
      <c r="O47" s="53">
        <v>20672</v>
      </c>
      <c r="P47" s="53">
        <v>8548</v>
      </c>
      <c r="Q47" s="16">
        <v>3.9332499974003801</v>
      </c>
      <c r="R47" s="17">
        <v>48547</v>
      </c>
      <c r="S47" s="18">
        <v>0.30027564952491131</v>
      </c>
      <c r="T47" s="12" t="s">
        <v>201</v>
      </c>
      <c r="U47" s="12" t="s">
        <v>163</v>
      </c>
      <c r="V47" s="12" t="s">
        <v>49</v>
      </c>
      <c r="W47" s="12" t="s">
        <v>130</v>
      </c>
      <c r="X47" s="12" t="s">
        <v>56</v>
      </c>
      <c r="Y47" s="18">
        <v>0.69227991332958838</v>
      </c>
      <c r="Z47" s="18">
        <v>0</v>
      </c>
      <c r="AA47" s="18">
        <v>0</v>
      </c>
      <c r="AB47" s="1"/>
      <c r="AD47" s="19"/>
    </row>
    <row r="48" spans="1:30" ht="75" customHeight="1" x14ac:dyDescent="0.25">
      <c r="A48" s="1"/>
      <c r="B48" s="9" t="s">
        <v>67</v>
      </c>
      <c r="C48" s="10" t="s">
        <v>68</v>
      </c>
      <c r="D48" s="11" t="s">
        <v>30</v>
      </c>
      <c r="E48" s="12" t="s">
        <v>38</v>
      </c>
      <c r="F48" s="12" t="s">
        <v>39</v>
      </c>
      <c r="G48" s="15">
        <v>6.5000000000000002E-2</v>
      </c>
      <c r="H48" s="15">
        <v>6.8047199881039702E-2</v>
      </c>
      <c r="I48" s="53">
        <v>2858126.9264788302</v>
      </c>
      <c r="J48" s="13">
        <v>2788264.1325146598</v>
      </c>
      <c r="K48" s="14">
        <v>2.1961617524948762E-3</v>
      </c>
      <c r="L48" s="14">
        <v>3.827455140104305E-2</v>
      </c>
      <c r="M48" s="14">
        <v>3.8274551401043057E-2</v>
      </c>
      <c r="N48" s="53">
        <v>11313</v>
      </c>
      <c r="O48" s="53">
        <v>11313</v>
      </c>
      <c r="P48" s="53">
        <v>433</v>
      </c>
      <c r="Q48" s="16">
        <v>2.2012020653411399</v>
      </c>
      <c r="R48" s="17">
        <v>46407</v>
      </c>
      <c r="S48" s="18">
        <v>0.44626722851657874</v>
      </c>
      <c r="T48" s="12" t="s">
        <v>202</v>
      </c>
      <c r="U48" s="12" t="s">
        <v>163</v>
      </c>
      <c r="V48" s="12" t="s">
        <v>69</v>
      </c>
      <c r="W48" s="12" t="s">
        <v>33</v>
      </c>
      <c r="X48" s="12" t="s">
        <v>34</v>
      </c>
      <c r="Y48" s="18">
        <v>1</v>
      </c>
      <c r="Z48" s="18">
        <v>0</v>
      </c>
      <c r="AA48" s="18">
        <v>0</v>
      </c>
      <c r="AB48" s="1"/>
      <c r="AD48" s="19"/>
    </row>
    <row r="49" spans="1:28" ht="11.25" customHeight="1" x14ac:dyDescent="0.25">
      <c r="A49" s="72"/>
      <c r="B49" s="73" t="s">
        <v>123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4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1048574" ht="16.5" hidden="1" x14ac:dyDescent="0.25"/>
  </sheetData>
  <autoFilter ref="B6:AA49" xr:uid="{AE838F93-8894-4C33-8792-B356FB233D76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2623-0C64-4F3C-85AB-51CB9EF00773}">
  <sheetPr>
    <tabColor theme="4" tint="0.79998168889431442"/>
  </sheetPr>
  <dimension ref="A1:BR46"/>
  <sheetViews>
    <sheetView showGridLines="0" zoomScaleNormal="100" workbookViewId="0">
      <selection activeCell="A4" sqref="A3:A4"/>
    </sheetView>
  </sheetViews>
  <sheetFormatPr defaultColWidth="9.28515625" defaultRowHeight="18.75" customHeight="1" outlineLevelCol="1" x14ac:dyDescent="0.25"/>
  <cols>
    <col min="1" max="1" width="3.5703125" style="20" customWidth="1"/>
    <col min="2" max="2" width="49.28515625" style="20" customWidth="1"/>
    <col min="3" max="3" width="11.7109375" style="20" customWidth="1"/>
    <col min="4" max="4" width="11.28515625" style="20" bestFit="1" customWidth="1"/>
    <col min="5" max="5" width="14.7109375" style="20" bestFit="1" customWidth="1"/>
    <col min="6" max="6" width="15.28515625" style="20" customWidth="1"/>
    <col min="7" max="8" width="12.28515625" style="20" bestFit="1" customWidth="1"/>
    <col min="9" max="9" width="12.28515625" style="20" customWidth="1"/>
    <col min="10" max="14" width="12.28515625" style="20" bestFit="1" customWidth="1"/>
    <col min="15" max="22" width="12.28515625" style="20" hidden="1" customWidth="1" outlineLevel="1"/>
    <col min="23" max="23" width="11.28515625" style="20" hidden="1" customWidth="1" outlineLevel="1"/>
    <col min="24" max="25" width="11.42578125" style="20" hidden="1" customWidth="1" outlineLevel="1"/>
    <col min="26" max="26" width="12.28515625" style="20" hidden="1" customWidth="1" outlineLevel="1"/>
    <col min="27" max="27" width="11.42578125" style="20" hidden="1" customWidth="1" outlineLevel="1"/>
    <col min="28" max="28" width="11.28515625" style="20" hidden="1" customWidth="1" outlineLevel="1"/>
    <col min="29" max="30" width="11.42578125" style="20" hidden="1" customWidth="1" outlineLevel="1"/>
    <col min="31" max="32" width="11.28515625" style="20" hidden="1" customWidth="1" outlineLevel="1"/>
    <col min="33" max="33" width="11.42578125" style="20" hidden="1" customWidth="1" outlineLevel="1"/>
    <col min="34" max="36" width="11.28515625" style="20" hidden="1" customWidth="1" outlineLevel="1"/>
    <col min="37" max="37" width="11.42578125" style="20" hidden="1" customWidth="1" outlineLevel="1"/>
    <col min="38" max="38" width="11.28515625" style="20" hidden="1" customWidth="1" outlineLevel="1"/>
    <col min="39" max="39" width="11.42578125" style="20" hidden="1" customWidth="1" outlineLevel="1"/>
    <col min="40" max="58" width="11.28515625" style="20" hidden="1" customWidth="1" outlineLevel="1"/>
    <col min="59" max="59" width="11" style="20" hidden="1" customWidth="1" outlineLevel="1"/>
    <col min="60" max="60" width="1.42578125" style="20" customWidth="1" collapsed="1"/>
    <col min="61" max="61" width="5" style="20" customWidth="1"/>
    <col min="62" max="62" width="13.5703125" style="22" bestFit="1" customWidth="1"/>
    <col min="63" max="63" width="0.7109375" style="20" customWidth="1"/>
    <col min="64" max="64" width="13.5703125" style="22" bestFit="1" customWidth="1"/>
    <col min="65" max="65" width="0.7109375" style="20" customWidth="1"/>
    <col min="66" max="66" width="13.5703125" style="20" bestFit="1" customWidth="1"/>
    <col min="67" max="67" width="9.28515625" style="20"/>
    <col min="68" max="68" width="23.7109375" style="20" bestFit="1" customWidth="1"/>
    <col min="69" max="69" width="13.7109375" style="20" bestFit="1" customWidth="1"/>
    <col min="70" max="16384" width="9.28515625" style="20"/>
  </cols>
  <sheetData>
    <row r="1" spans="1:70" ht="18.75" customHeight="1" x14ac:dyDescent="0.25">
      <c r="BH1" s="22"/>
      <c r="BL1" s="20"/>
    </row>
    <row r="2" spans="1:70" s="2" customFormat="1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70" s="2" customFormat="1" ht="18.75" customHeight="1" x14ac:dyDescent="0.25">
      <c r="A3" s="1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5"/>
    </row>
    <row r="4" spans="1:70" s="2" customFormat="1" ht="18.75" customHeight="1" x14ac:dyDescent="0.25">
      <c r="A4" s="1"/>
      <c r="B4" s="3" t="s">
        <v>70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5"/>
    </row>
    <row r="5" spans="1:70" s="2" customFormat="1" ht="18.75" customHeight="1" x14ac:dyDescent="0.25">
      <c r="A5" s="1"/>
      <c r="B5" s="7">
        <v>44927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5"/>
    </row>
    <row r="6" spans="1:70" s="2" customFormat="1" ht="18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70" ht="18.75" customHeight="1" x14ac:dyDescent="0.25">
      <c r="BJ7" s="20"/>
      <c r="BL7" s="20"/>
    </row>
    <row r="8" spans="1:70" ht="18.75" customHeight="1" x14ac:dyDescent="0.25">
      <c r="B8" s="23"/>
      <c r="C8" s="24">
        <v>44927</v>
      </c>
      <c r="D8" s="24">
        <v>44896</v>
      </c>
      <c r="E8" s="24">
        <v>44866</v>
      </c>
      <c r="F8" s="24">
        <v>44835</v>
      </c>
      <c r="G8" s="24">
        <v>44805</v>
      </c>
      <c r="H8" s="24">
        <v>44774</v>
      </c>
      <c r="I8" s="24">
        <v>44743</v>
      </c>
      <c r="J8" s="24">
        <v>44713</v>
      </c>
      <c r="K8" s="24">
        <v>44682</v>
      </c>
      <c r="L8" s="24">
        <v>44652</v>
      </c>
      <c r="M8" s="24">
        <v>44621</v>
      </c>
      <c r="N8" s="24">
        <v>44593</v>
      </c>
      <c r="O8" s="24">
        <v>44562</v>
      </c>
      <c r="P8" s="24">
        <v>44531</v>
      </c>
      <c r="Q8" s="24">
        <v>44501</v>
      </c>
      <c r="R8" s="24">
        <v>44470</v>
      </c>
      <c r="S8" s="24">
        <v>44440</v>
      </c>
      <c r="T8" s="24">
        <v>44409</v>
      </c>
      <c r="U8" s="24">
        <v>44378</v>
      </c>
      <c r="V8" s="24">
        <v>44348</v>
      </c>
      <c r="W8" s="24">
        <v>44317</v>
      </c>
      <c r="X8" s="24">
        <v>44287</v>
      </c>
      <c r="Y8" s="24">
        <v>44256</v>
      </c>
      <c r="Z8" s="24">
        <v>44228</v>
      </c>
      <c r="AA8" s="24">
        <v>44197</v>
      </c>
      <c r="AB8" s="24">
        <v>44166</v>
      </c>
      <c r="AC8" s="24">
        <v>44136</v>
      </c>
      <c r="AD8" s="24">
        <v>44105</v>
      </c>
      <c r="AE8" s="24">
        <v>44075</v>
      </c>
      <c r="AF8" s="24">
        <v>44044</v>
      </c>
      <c r="AG8" s="24">
        <v>44013</v>
      </c>
      <c r="AH8" s="24">
        <v>43983</v>
      </c>
      <c r="AI8" s="24">
        <v>43952</v>
      </c>
      <c r="AJ8" s="24">
        <v>43922</v>
      </c>
      <c r="AK8" s="24">
        <v>43891</v>
      </c>
      <c r="AL8" s="24">
        <v>43862</v>
      </c>
      <c r="AM8" s="24">
        <v>43831</v>
      </c>
      <c r="AN8" s="24">
        <v>43800</v>
      </c>
      <c r="AO8" s="24">
        <v>43770</v>
      </c>
      <c r="AP8" s="24">
        <v>43739</v>
      </c>
      <c r="AQ8" s="24">
        <v>43709</v>
      </c>
      <c r="AR8" s="24">
        <v>43678</v>
      </c>
      <c r="AS8" s="24">
        <v>43647</v>
      </c>
      <c r="AT8" s="24">
        <v>43617</v>
      </c>
      <c r="AU8" s="24">
        <v>43586</v>
      </c>
      <c r="AV8" s="24">
        <v>43556</v>
      </c>
      <c r="AW8" s="24">
        <v>43525</v>
      </c>
      <c r="AX8" s="24">
        <v>43497</v>
      </c>
      <c r="AY8" s="24">
        <v>43466</v>
      </c>
      <c r="AZ8" s="24">
        <v>43435</v>
      </c>
      <c r="BA8" s="24">
        <v>43405</v>
      </c>
      <c r="BB8" s="24">
        <v>43374</v>
      </c>
      <c r="BC8" s="24">
        <v>43344</v>
      </c>
      <c r="BD8" s="24">
        <v>43313</v>
      </c>
      <c r="BE8" s="24">
        <v>43282</v>
      </c>
      <c r="BF8" s="24">
        <v>43252</v>
      </c>
      <c r="BG8" s="24">
        <v>43221</v>
      </c>
      <c r="BH8" s="24">
        <v>43191</v>
      </c>
      <c r="BI8" s="25"/>
      <c r="BJ8"/>
      <c r="BK8"/>
      <c r="BL8"/>
      <c r="BM8"/>
      <c r="BN8"/>
      <c r="BR8" s="21"/>
    </row>
    <row r="9" spans="1:70" ht="18.75" customHeight="1" x14ac:dyDescent="0.25">
      <c r="B9" s="26" t="s">
        <v>71</v>
      </c>
      <c r="C9" s="64">
        <v>13438908</v>
      </c>
      <c r="D9" s="64">
        <v>13438908</v>
      </c>
      <c r="E9" s="64">
        <v>13438908</v>
      </c>
      <c r="F9" s="64">
        <v>13438908</v>
      </c>
      <c r="G9" s="64">
        <v>13438908</v>
      </c>
      <c r="H9" s="64">
        <v>13438908</v>
      </c>
      <c r="I9" s="64">
        <v>13438908</v>
      </c>
      <c r="J9" s="64">
        <v>10362300</v>
      </c>
      <c r="K9" s="64">
        <v>10362300</v>
      </c>
      <c r="L9" s="27">
        <v>10362300</v>
      </c>
      <c r="M9" s="27">
        <v>10362300</v>
      </c>
      <c r="N9" s="27">
        <v>10362300</v>
      </c>
      <c r="O9" s="27">
        <v>10362300</v>
      </c>
      <c r="P9" s="27">
        <v>10362300</v>
      </c>
      <c r="Q9" s="27">
        <v>10362300</v>
      </c>
      <c r="R9" s="27">
        <v>10362300</v>
      </c>
      <c r="S9" s="27">
        <v>10362300</v>
      </c>
      <c r="T9" s="27">
        <v>10362300</v>
      </c>
      <c r="U9" s="27">
        <v>10362300</v>
      </c>
      <c r="V9" s="27">
        <v>7638479</v>
      </c>
      <c r="W9" s="27">
        <v>7638479</v>
      </c>
      <c r="X9" s="27">
        <v>7638479</v>
      </c>
      <c r="Y9" s="27">
        <v>7638479</v>
      </c>
      <c r="Z9" s="27">
        <v>7638479</v>
      </c>
      <c r="AA9" s="27">
        <v>7638479</v>
      </c>
      <c r="AB9" s="27">
        <v>7638479</v>
      </c>
      <c r="AC9" s="27">
        <v>7638479</v>
      </c>
      <c r="AD9" s="27">
        <v>7638479</v>
      </c>
      <c r="AE9" s="27">
        <v>6942557</v>
      </c>
      <c r="AF9" s="27">
        <v>6942557</v>
      </c>
      <c r="AG9" s="27">
        <v>6942557</v>
      </c>
      <c r="AH9" s="27">
        <v>6942557</v>
      </c>
      <c r="AI9" s="27">
        <v>6942557</v>
      </c>
      <c r="AJ9" s="27">
        <v>6942557</v>
      </c>
      <c r="AK9" s="27">
        <v>6942557</v>
      </c>
      <c r="AL9" s="27">
        <v>6942557</v>
      </c>
      <c r="AM9" s="27">
        <v>6942557</v>
      </c>
      <c r="AN9" s="27">
        <v>6942557</v>
      </c>
      <c r="AO9" s="27">
        <v>6248693</v>
      </c>
      <c r="AP9" s="27">
        <v>4693062</v>
      </c>
      <c r="AQ9" s="27">
        <v>4693062</v>
      </c>
      <c r="AR9" s="27">
        <v>4693062</v>
      </c>
      <c r="AS9" s="27">
        <v>4693062</v>
      </c>
      <c r="AT9" s="27">
        <v>4693062</v>
      </c>
      <c r="AU9" s="27">
        <v>4693062</v>
      </c>
      <c r="AV9" s="27">
        <v>2728868</v>
      </c>
      <c r="AW9" s="27">
        <v>2728868</v>
      </c>
      <c r="AX9" s="27">
        <v>2728868</v>
      </c>
      <c r="AY9" s="27">
        <v>2728868</v>
      </c>
      <c r="AZ9" s="27">
        <v>1480432</v>
      </c>
      <c r="BA9" s="27">
        <v>1480432</v>
      </c>
      <c r="BB9" s="27">
        <v>1480432</v>
      </c>
      <c r="BC9" s="27">
        <v>1480432</v>
      </c>
      <c r="BD9" s="27">
        <v>1480432</v>
      </c>
      <c r="BE9" s="27">
        <v>1480432</v>
      </c>
      <c r="BF9" s="27">
        <v>1480432</v>
      </c>
      <c r="BG9" s="27">
        <v>1480432</v>
      </c>
      <c r="BH9" s="28">
        <v>0</v>
      </c>
      <c r="BJ9"/>
      <c r="BK9"/>
      <c r="BL9"/>
      <c r="BM9"/>
      <c r="BN9"/>
    </row>
    <row r="10" spans="1:70" ht="18.75" customHeight="1" x14ac:dyDescent="0.25">
      <c r="B10" s="26" t="s">
        <v>72</v>
      </c>
      <c r="C10" s="64">
        <v>13438908</v>
      </c>
      <c r="D10" s="64">
        <v>13438908</v>
      </c>
      <c r="E10" s="64">
        <v>13438908</v>
      </c>
      <c r="F10" s="64">
        <v>13438908</v>
      </c>
      <c r="G10" s="64">
        <v>13438908</v>
      </c>
      <c r="H10" s="64">
        <v>13438908</v>
      </c>
      <c r="I10" s="64">
        <v>13438908</v>
      </c>
      <c r="J10" s="64">
        <v>13438908</v>
      </c>
      <c r="K10" s="64">
        <v>10840555</v>
      </c>
      <c r="L10" s="27">
        <v>10362300</v>
      </c>
      <c r="M10" s="27">
        <v>10362300</v>
      </c>
      <c r="N10" s="27">
        <v>10362300</v>
      </c>
      <c r="O10" s="27">
        <v>10362300</v>
      </c>
      <c r="P10" s="27">
        <v>10362300</v>
      </c>
      <c r="Q10" s="27">
        <v>10362300</v>
      </c>
      <c r="R10" s="27">
        <v>10362300</v>
      </c>
      <c r="S10" s="27">
        <v>10362300</v>
      </c>
      <c r="T10" s="27">
        <v>10362300</v>
      </c>
      <c r="U10" s="27">
        <v>10362300</v>
      </c>
      <c r="V10" s="27">
        <v>10362300</v>
      </c>
      <c r="W10" s="27">
        <v>7638479</v>
      </c>
      <c r="X10" s="27">
        <v>7638479</v>
      </c>
      <c r="Y10" s="27">
        <v>7638479</v>
      </c>
      <c r="Z10" s="27">
        <v>7638479</v>
      </c>
      <c r="AA10" s="27">
        <v>7638479</v>
      </c>
      <c r="AB10" s="27">
        <v>7638479</v>
      </c>
      <c r="AC10" s="27">
        <v>7638479</v>
      </c>
      <c r="AD10" s="27">
        <v>7638479</v>
      </c>
      <c r="AE10" s="27">
        <v>7641352</v>
      </c>
      <c r="AF10" s="27">
        <v>7425790</v>
      </c>
      <c r="AG10" s="27">
        <v>7242381</v>
      </c>
      <c r="AH10" s="27">
        <v>6942557</v>
      </c>
      <c r="AI10" s="27">
        <v>6942557</v>
      </c>
      <c r="AJ10" s="27">
        <v>6942557</v>
      </c>
      <c r="AK10" s="27">
        <v>6942557</v>
      </c>
      <c r="AL10" s="27">
        <v>6942557</v>
      </c>
      <c r="AM10" s="27">
        <v>6942557</v>
      </c>
      <c r="AN10" s="27">
        <v>6942557</v>
      </c>
      <c r="AO10" s="27">
        <v>6942557</v>
      </c>
      <c r="AP10" s="27">
        <v>6248693</v>
      </c>
      <c r="AQ10" s="27">
        <v>4693062</v>
      </c>
      <c r="AR10" s="27">
        <v>4693062</v>
      </c>
      <c r="AS10" s="27">
        <v>4693062</v>
      </c>
      <c r="AT10" s="27">
        <v>4693062</v>
      </c>
      <c r="AU10" s="27">
        <v>4693062</v>
      </c>
      <c r="AV10" s="27">
        <v>4693062</v>
      </c>
      <c r="AW10" s="27">
        <v>2728868</v>
      </c>
      <c r="AX10" s="27">
        <v>2728868</v>
      </c>
      <c r="AY10" s="27">
        <v>2728868</v>
      </c>
      <c r="AZ10" s="27">
        <v>2728868</v>
      </c>
      <c r="BA10" s="27">
        <v>1480432</v>
      </c>
      <c r="BB10" s="27">
        <v>1480432</v>
      </c>
      <c r="BC10" s="27">
        <v>1480432</v>
      </c>
      <c r="BD10" s="27">
        <v>1480432</v>
      </c>
      <c r="BE10" s="27">
        <v>1480432</v>
      </c>
      <c r="BF10" s="27">
        <v>1480432</v>
      </c>
      <c r="BG10" s="27">
        <v>1480432</v>
      </c>
      <c r="BH10" s="28">
        <v>0</v>
      </c>
      <c r="BJ10"/>
      <c r="BK10"/>
      <c r="BL10"/>
      <c r="BM10"/>
      <c r="BN10"/>
    </row>
    <row r="11" spans="1:70" ht="18.75" customHeight="1" x14ac:dyDescent="0.25">
      <c r="B11" s="26" t="s">
        <v>73</v>
      </c>
      <c r="C11" s="28">
        <v>84.03</v>
      </c>
      <c r="D11" s="28">
        <v>84.22</v>
      </c>
      <c r="E11" s="28">
        <v>89.06</v>
      </c>
      <c r="F11" s="28">
        <v>91.2</v>
      </c>
      <c r="G11" s="28">
        <v>90.6</v>
      </c>
      <c r="H11" s="28">
        <v>98.4</v>
      </c>
      <c r="I11" s="28">
        <v>98.31</v>
      </c>
      <c r="J11" s="28">
        <v>100.8</v>
      </c>
      <c r="K11" s="28">
        <v>101.5</v>
      </c>
      <c r="L11" s="28">
        <v>100.95</v>
      </c>
      <c r="M11" s="28">
        <v>102.48</v>
      </c>
      <c r="N11" s="28">
        <v>100</v>
      </c>
      <c r="O11" s="28">
        <v>101.81</v>
      </c>
      <c r="P11" s="28">
        <v>98.95</v>
      </c>
      <c r="Q11" s="28">
        <v>94.11</v>
      </c>
      <c r="R11" s="28">
        <v>97.56</v>
      </c>
      <c r="S11" s="28">
        <v>96.9</v>
      </c>
      <c r="T11" s="28">
        <v>97.76</v>
      </c>
      <c r="U11" s="28">
        <v>99.99</v>
      </c>
      <c r="V11" s="28">
        <v>98.45</v>
      </c>
      <c r="W11" s="28">
        <v>100.46</v>
      </c>
      <c r="X11" s="28">
        <v>101.71</v>
      </c>
      <c r="Y11" s="28">
        <v>99.71</v>
      </c>
      <c r="Z11" s="28">
        <v>95.79</v>
      </c>
      <c r="AA11" s="28">
        <v>94</v>
      </c>
      <c r="AB11" s="28">
        <v>95.08</v>
      </c>
      <c r="AC11" s="28">
        <v>95.75</v>
      </c>
      <c r="AD11" s="28">
        <v>97.65</v>
      </c>
      <c r="AE11" s="28">
        <v>99.21</v>
      </c>
      <c r="AF11" s="28">
        <v>100</v>
      </c>
      <c r="AG11" s="28">
        <v>99.29</v>
      </c>
      <c r="AH11" s="28">
        <v>100.09</v>
      </c>
      <c r="AI11" s="28">
        <v>94.99</v>
      </c>
      <c r="AJ11" s="28">
        <v>90.25</v>
      </c>
      <c r="AK11" s="28">
        <v>93.54</v>
      </c>
      <c r="AL11" s="28">
        <v>105</v>
      </c>
      <c r="AM11" s="28">
        <v>106</v>
      </c>
      <c r="AN11" s="28">
        <v>109.89</v>
      </c>
      <c r="AO11" s="28">
        <v>103.7</v>
      </c>
      <c r="AP11" s="28">
        <v>104.05</v>
      </c>
      <c r="AQ11" s="28">
        <v>103.49</v>
      </c>
      <c r="AR11" s="28">
        <v>106.9</v>
      </c>
      <c r="AS11" s="28">
        <v>107.76</v>
      </c>
      <c r="AT11" s="28">
        <v>107.98</v>
      </c>
      <c r="AU11" s="28">
        <v>106.02</v>
      </c>
      <c r="AV11" s="28">
        <v>107.96</v>
      </c>
      <c r="AW11" s="28">
        <v>103.9</v>
      </c>
      <c r="AX11" s="28">
        <v>107.3</v>
      </c>
      <c r="AY11" s="28">
        <v>106</v>
      </c>
      <c r="AZ11" s="28">
        <v>108.1</v>
      </c>
      <c r="BA11" s="28">
        <v>101</v>
      </c>
      <c r="BB11" s="28">
        <v>101.5</v>
      </c>
      <c r="BC11" s="28">
        <v>96.4</v>
      </c>
      <c r="BD11" s="28">
        <v>97.7</v>
      </c>
      <c r="BE11" s="28">
        <v>96</v>
      </c>
      <c r="BF11" s="28">
        <v>97.18</v>
      </c>
      <c r="BG11" s="28">
        <v>98.69</v>
      </c>
      <c r="BH11" s="28">
        <v>100</v>
      </c>
      <c r="BJ11"/>
      <c r="BK11"/>
      <c r="BL11"/>
      <c r="BM11"/>
      <c r="BN11"/>
    </row>
    <row r="12" spans="1:70" ht="18.75" customHeight="1" x14ac:dyDescent="0.25">
      <c r="B12" s="26" t="s">
        <v>74</v>
      </c>
      <c r="C12" s="29">
        <v>94.47</v>
      </c>
      <c r="D12" s="29">
        <v>94.074236010842554</v>
      </c>
      <c r="E12" s="29">
        <v>95.151467943675172</v>
      </c>
      <c r="F12" s="29">
        <v>96.964328724476701</v>
      </c>
      <c r="G12" s="29">
        <v>95.709777615859849</v>
      </c>
      <c r="H12" s="29">
        <v>96.373362183891729</v>
      </c>
      <c r="I12" s="29">
        <v>95.698902907140962</v>
      </c>
      <c r="J12" s="29">
        <v>95.766188473795651</v>
      </c>
      <c r="K12" s="29">
        <v>96.555165767804326</v>
      </c>
      <c r="L12" s="29">
        <v>97.637359123939675</v>
      </c>
      <c r="M12" s="29">
        <v>98.732635078119728</v>
      </c>
      <c r="N12" s="29">
        <v>97.519908732617282</v>
      </c>
      <c r="O12" s="29">
        <v>98.725601485191504</v>
      </c>
      <c r="P12" s="29">
        <v>100.68622227208245</v>
      </c>
      <c r="Q12" s="29">
        <v>101.57262842612161</v>
      </c>
      <c r="R12" s="29">
        <v>99.699237210850868</v>
      </c>
      <c r="S12" s="29">
        <v>99.775141769684325</v>
      </c>
      <c r="T12" s="29">
        <v>99.688690970151413</v>
      </c>
      <c r="U12" s="29">
        <v>99.346255574534609</v>
      </c>
      <c r="V12" s="29">
        <v>99.463467683815367</v>
      </c>
      <c r="W12" s="29">
        <v>99.509454056232926</v>
      </c>
      <c r="X12" s="29">
        <v>99.47942112297487</v>
      </c>
      <c r="Y12" s="29">
        <v>99.086686218552146</v>
      </c>
      <c r="Z12" s="29">
        <v>99.127539876721528</v>
      </c>
      <c r="AA12" s="29">
        <v>99.816018179797311</v>
      </c>
      <c r="AB12" s="29">
        <v>99.806867954994715</v>
      </c>
      <c r="AC12" s="29">
        <v>98.15845324180377</v>
      </c>
      <c r="AD12" s="29">
        <v>97.581068083056849</v>
      </c>
      <c r="AE12" s="29">
        <v>97.622093748593173</v>
      </c>
      <c r="AF12" s="29">
        <v>98.15390934836563</v>
      </c>
      <c r="AG12" s="29">
        <v>97.86863199409143</v>
      </c>
      <c r="AH12" s="29">
        <v>97.791859173788566</v>
      </c>
      <c r="AI12" s="29">
        <v>97.672284157441936</v>
      </c>
      <c r="AJ12" s="29">
        <v>97.516566736146345</v>
      </c>
      <c r="AK12" s="29">
        <v>97.619731562558925</v>
      </c>
      <c r="AL12" s="29">
        <v>98.375973101841311</v>
      </c>
      <c r="AM12" s="29">
        <v>98.179265512692226</v>
      </c>
      <c r="AN12" s="29">
        <v>98.352421339860811</v>
      </c>
      <c r="AO12" s="29">
        <v>98.41630332600765</v>
      </c>
      <c r="AP12" s="29">
        <v>98.505503974991242</v>
      </c>
      <c r="AQ12" s="29">
        <v>97.353317303287284</v>
      </c>
      <c r="AR12" s="29">
        <v>97.503761844704258</v>
      </c>
      <c r="AS12" s="29">
        <v>96.935057785300941</v>
      </c>
      <c r="AT12" s="29">
        <v>97.027976039950047</v>
      </c>
      <c r="AU12" s="29">
        <v>96.723646050275931</v>
      </c>
      <c r="AV12" s="29">
        <v>96.648203264734207</v>
      </c>
      <c r="AW12" s="29">
        <v>95.642297064822969</v>
      </c>
      <c r="AX12" s="29">
        <v>95.781047236436507</v>
      </c>
      <c r="AY12" s="29">
        <v>96.138535319407183</v>
      </c>
      <c r="AZ12" s="29">
        <v>96.239611908674235</v>
      </c>
      <c r="BA12" s="29">
        <v>96.102018046083842</v>
      </c>
      <c r="BB12" s="29">
        <v>96.1750645554811</v>
      </c>
      <c r="BC12" s="29">
        <v>96.119201751014813</v>
      </c>
      <c r="BD12" s="29">
        <v>96.021086020837146</v>
      </c>
      <c r="BE12" s="29">
        <v>96.063609507224925</v>
      </c>
      <c r="BF12" s="29">
        <v>95.98952546959265</v>
      </c>
      <c r="BG12" s="29">
        <v>96.146360217828303</v>
      </c>
      <c r="BH12" s="29">
        <v>95.66</v>
      </c>
      <c r="BJ12"/>
      <c r="BK12"/>
      <c r="BL12"/>
      <c r="BM12"/>
      <c r="BN12"/>
    </row>
    <row r="13" spans="1:70" ht="18.75" customHeight="1" x14ac:dyDescent="0.25">
      <c r="W13" s="30"/>
      <c r="X13" s="30"/>
      <c r="Y13" s="30"/>
      <c r="Z13" s="30"/>
      <c r="AA13" s="30"/>
      <c r="AB13" s="30"/>
      <c r="AC13" s="30"/>
      <c r="BJ13" s="20"/>
      <c r="BK13" s="22"/>
      <c r="BL13" s="20"/>
      <c r="BM13" s="22"/>
    </row>
    <row r="14" spans="1:70" ht="18.75" customHeight="1" x14ac:dyDescent="0.25">
      <c r="B14" s="31" t="s">
        <v>75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BJ14" s="20"/>
      <c r="BK14" s="22"/>
      <c r="BL14" s="20"/>
      <c r="BM14" s="22"/>
    </row>
    <row r="15" spans="1:70" ht="18.75" customHeight="1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BJ15" s="20"/>
      <c r="BK15" s="22"/>
      <c r="BL15" s="20"/>
      <c r="BM15" s="22"/>
    </row>
    <row r="16" spans="1:70" ht="18.75" customHeight="1" x14ac:dyDescent="0.25"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J16" s="33"/>
      <c r="BK16" s="22"/>
      <c r="BL16" s="20"/>
      <c r="BM16" s="22"/>
    </row>
    <row r="17" spans="1:68" ht="18.75" customHeight="1" x14ac:dyDescent="0.25">
      <c r="B17" s="34" t="s">
        <v>76</v>
      </c>
      <c r="C17" s="24">
        <v>44927</v>
      </c>
      <c r="D17" s="24">
        <v>44896</v>
      </c>
      <c r="E17" s="24">
        <v>44866</v>
      </c>
      <c r="F17" s="24">
        <v>44835</v>
      </c>
      <c r="G17" s="24">
        <v>44805</v>
      </c>
      <c r="H17" s="24">
        <v>44774</v>
      </c>
      <c r="I17" s="24">
        <v>44743</v>
      </c>
      <c r="J17" s="24">
        <v>44713</v>
      </c>
      <c r="K17" s="24">
        <v>44682</v>
      </c>
      <c r="L17" s="24">
        <v>44652</v>
      </c>
      <c r="M17" s="24">
        <v>44621</v>
      </c>
      <c r="N17" s="24">
        <v>44593</v>
      </c>
      <c r="O17" s="24">
        <v>44562</v>
      </c>
      <c r="P17" s="24">
        <v>44531</v>
      </c>
      <c r="Q17" s="24">
        <v>44501</v>
      </c>
      <c r="R17" s="24">
        <v>44470</v>
      </c>
      <c r="S17" s="24">
        <v>44440</v>
      </c>
      <c r="T17" s="24">
        <v>44409</v>
      </c>
      <c r="U17" s="24">
        <v>44378</v>
      </c>
      <c r="V17" s="24">
        <v>44348</v>
      </c>
      <c r="W17" s="24">
        <v>44317</v>
      </c>
      <c r="X17" s="24">
        <v>44287</v>
      </c>
      <c r="Y17" s="24">
        <v>44256</v>
      </c>
      <c r="Z17" s="24">
        <v>44228</v>
      </c>
      <c r="AA17" s="24">
        <v>44197</v>
      </c>
      <c r="AB17" s="24">
        <v>44166</v>
      </c>
      <c r="AC17" s="24">
        <v>44136</v>
      </c>
      <c r="AD17" s="24">
        <v>44105</v>
      </c>
      <c r="AE17" s="24">
        <v>44075</v>
      </c>
      <c r="AF17" s="24">
        <v>44044</v>
      </c>
      <c r="AG17" s="24">
        <v>44013</v>
      </c>
      <c r="AH17" s="24">
        <v>43983</v>
      </c>
      <c r="AI17" s="24">
        <v>43952</v>
      </c>
      <c r="AJ17" s="24">
        <v>43922</v>
      </c>
      <c r="AK17" s="24">
        <v>43891</v>
      </c>
      <c r="AL17" s="24">
        <v>43862</v>
      </c>
      <c r="AM17" s="24">
        <v>43831</v>
      </c>
      <c r="AN17" s="24">
        <v>43800</v>
      </c>
      <c r="AO17" s="24">
        <v>43770</v>
      </c>
      <c r="AP17" s="24">
        <v>43739</v>
      </c>
      <c r="AQ17" s="24">
        <v>43709</v>
      </c>
      <c r="AR17" s="24">
        <v>43678</v>
      </c>
      <c r="AS17" s="24">
        <v>43647</v>
      </c>
      <c r="AT17" s="24">
        <v>43617</v>
      </c>
      <c r="AU17" s="24">
        <v>43586</v>
      </c>
      <c r="AV17" s="24">
        <v>43556</v>
      </c>
      <c r="AW17" s="24">
        <v>43525</v>
      </c>
      <c r="AX17" s="24">
        <v>43497</v>
      </c>
      <c r="AY17" s="24">
        <v>43466</v>
      </c>
      <c r="AZ17" s="24">
        <v>43435</v>
      </c>
      <c r="BA17" s="24">
        <v>43405</v>
      </c>
      <c r="BB17" s="24">
        <v>43374</v>
      </c>
      <c r="BC17" s="24">
        <v>43344</v>
      </c>
      <c r="BD17" s="24">
        <v>43313</v>
      </c>
      <c r="BE17" s="24">
        <v>43282</v>
      </c>
      <c r="BF17" s="24">
        <v>43252</v>
      </c>
      <c r="BG17" s="24">
        <v>43221</v>
      </c>
      <c r="BH17" s="24">
        <v>43191</v>
      </c>
      <c r="BI17" s="25"/>
      <c r="BJ17" s="24" t="s">
        <v>300</v>
      </c>
      <c r="BK17" s="25"/>
      <c r="BL17" s="24" t="s">
        <v>77</v>
      </c>
      <c r="BM17" s="25"/>
      <c r="BN17" s="24" t="s">
        <v>78</v>
      </c>
    </row>
    <row r="18" spans="1:68" ht="18.75" customHeight="1" x14ac:dyDescent="0.25">
      <c r="B18" s="35" t="s">
        <v>79</v>
      </c>
      <c r="C18" s="36">
        <v>14258801</v>
      </c>
      <c r="D18" s="36">
        <v>10770437.983936856</v>
      </c>
      <c r="E18" s="36">
        <v>9764185.5545694064</v>
      </c>
      <c r="F18" s="36">
        <v>7715929.8694813922</v>
      </c>
      <c r="G18" s="36">
        <v>11169121.412113871</v>
      </c>
      <c r="H18" s="36">
        <v>16375771.727167299</v>
      </c>
      <c r="I18" s="36">
        <v>17187898.294997633</v>
      </c>
      <c r="J18" s="36">
        <v>17001438.153622404</v>
      </c>
      <c r="K18" s="36">
        <v>12566032.533270162</v>
      </c>
      <c r="L18" s="36">
        <v>14056909.277751541</v>
      </c>
      <c r="M18" s="36">
        <v>10632465.671410769</v>
      </c>
      <c r="N18" s="36">
        <v>13839849.130923491</v>
      </c>
      <c r="O18" s="36">
        <v>9064131.7300000004</v>
      </c>
      <c r="P18" s="36">
        <v>20893837.338025011</v>
      </c>
      <c r="Q18" s="36">
        <v>10969205.32</v>
      </c>
      <c r="R18" s="36">
        <v>9691311.9299999997</v>
      </c>
      <c r="S18" s="36">
        <v>7316016.6599999992</v>
      </c>
      <c r="T18" s="36">
        <v>6816411.6293001184</v>
      </c>
      <c r="U18" s="36">
        <v>12866296.577056408</v>
      </c>
      <c r="V18" s="36">
        <v>6258202.5393649722</v>
      </c>
      <c r="W18" s="36">
        <v>5224320.1100000003</v>
      </c>
      <c r="X18" s="36">
        <v>4940205.8900000099</v>
      </c>
      <c r="Y18" s="36">
        <v>8512793.1441930532</v>
      </c>
      <c r="Z18" s="36">
        <v>6479408.2036500145</v>
      </c>
      <c r="AA18" s="36">
        <v>5427451.4991277484</v>
      </c>
      <c r="AB18" s="36">
        <v>4879558.2378341733</v>
      </c>
      <c r="AC18" s="36">
        <v>4385581.6999999974</v>
      </c>
      <c r="AD18" s="36">
        <v>4051469.9703585156</v>
      </c>
      <c r="AE18" s="36">
        <v>4014615.11</v>
      </c>
      <c r="AF18" s="36">
        <v>3754270.3699999996</v>
      </c>
      <c r="AG18" s="36">
        <v>3392700.5933158766</v>
      </c>
      <c r="AH18" s="36">
        <v>3605496.2154396293</v>
      </c>
      <c r="AI18" s="36">
        <v>3940532.787010476</v>
      </c>
      <c r="AJ18" s="36">
        <v>3773254.0970104756</v>
      </c>
      <c r="AK18" s="36">
        <v>4127761.7906054114</v>
      </c>
      <c r="AL18" s="36">
        <v>5446227.9055653922</v>
      </c>
      <c r="AM18" s="36">
        <v>4504675.8510736562</v>
      </c>
      <c r="AN18" s="36">
        <v>3644619.55</v>
      </c>
      <c r="AO18" s="36">
        <v>3247846.3673433745</v>
      </c>
      <c r="AP18" s="36">
        <v>3075499.7230687705</v>
      </c>
      <c r="AQ18" s="36">
        <v>3201533.0144609017</v>
      </c>
      <c r="AR18" s="36">
        <v>2595290.5333856498</v>
      </c>
      <c r="AS18" s="36">
        <v>3181910.240458508</v>
      </c>
      <c r="AT18" s="36">
        <v>3156173.7784353239</v>
      </c>
      <c r="AU18" s="36">
        <v>2897516.0385798197</v>
      </c>
      <c r="AV18" s="36">
        <v>2026705.1684128623</v>
      </c>
      <c r="AW18" s="36">
        <v>2075754.4393208262</v>
      </c>
      <c r="AX18" s="36">
        <v>2117449.6298549087</v>
      </c>
      <c r="AY18" s="36">
        <v>1446045.3599999992</v>
      </c>
      <c r="AZ18" s="36">
        <v>1124359.9628176922</v>
      </c>
      <c r="BA18" s="36">
        <v>1399892.851979824</v>
      </c>
      <c r="BB18" s="36">
        <v>1111972.1349779754</v>
      </c>
      <c r="BC18" s="36">
        <v>1058588.2987059236</v>
      </c>
      <c r="BD18" s="36">
        <v>1783065.0931905573</v>
      </c>
      <c r="BE18" s="36">
        <v>1055854.4065736618</v>
      </c>
      <c r="BF18" s="36">
        <v>749209.43485505809</v>
      </c>
      <c r="BG18" s="36">
        <v>652355.2919159201</v>
      </c>
      <c r="BH18" s="36">
        <v>0</v>
      </c>
      <c r="BI18" s="37"/>
      <c r="BJ18" s="144">
        <v>14258801.411574064</v>
      </c>
      <c r="BK18" s="55"/>
      <c r="BL18" s="54">
        <v>155338841</v>
      </c>
      <c r="BM18" s="55"/>
      <c r="BN18" s="54">
        <v>366797034</v>
      </c>
    </row>
    <row r="19" spans="1:68" ht="18.75" customHeight="1" x14ac:dyDescent="0.25">
      <c r="B19" s="38" t="s">
        <v>80</v>
      </c>
      <c r="C19" s="39">
        <v>7593327</v>
      </c>
      <c r="D19" s="39">
        <v>6044312.7352415286</v>
      </c>
      <c r="E19" s="39">
        <v>6648324.3105499987</v>
      </c>
      <c r="F19" s="39">
        <v>7146689.4782431778</v>
      </c>
      <c r="G19" s="39">
        <v>6772631.1671834104</v>
      </c>
      <c r="H19" s="39">
        <v>7592625.6981012495</v>
      </c>
      <c r="I19" s="39">
        <v>6259207.1795355557</v>
      </c>
      <c r="J19" s="39">
        <v>6880869.0774745038</v>
      </c>
      <c r="K19" s="39">
        <v>5672546.0800000001</v>
      </c>
      <c r="L19" s="39">
        <v>6429241.6552999299</v>
      </c>
      <c r="M19" s="39">
        <v>5316985.1107191099</v>
      </c>
      <c r="N19" s="39">
        <v>5776619.1000000006</v>
      </c>
      <c r="O19" s="39">
        <v>5554295.8300000001</v>
      </c>
      <c r="P19" s="39">
        <v>5179207.9026374398</v>
      </c>
      <c r="Q19" s="39">
        <v>5233823.84</v>
      </c>
      <c r="R19" s="39">
        <v>4935155.74</v>
      </c>
      <c r="S19" s="39">
        <v>4915777.3299999991</v>
      </c>
      <c r="T19" s="39">
        <v>4521585.7998826113</v>
      </c>
      <c r="U19" s="39">
        <v>3633415.9046930298</v>
      </c>
      <c r="V19" s="39">
        <v>3855370.2874503266</v>
      </c>
      <c r="W19" s="39">
        <v>3396382.4299999997</v>
      </c>
      <c r="X19" s="39">
        <v>2905137.01</v>
      </c>
      <c r="Y19" s="39">
        <v>2543803.1099999994</v>
      </c>
      <c r="Z19" s="39">
        <v>2648973.8574607801</v>
      </c>
      <c r="AA19" s="39">
        <v>2681718.7962499559</v>
      </c>
      <c r="AB19" s="39">
        <v>2628802.475749332</v>
      </c>
      <c r="AC19" s="39">
        <v>2486727.06</v>
      </c>
      <c r="AD19" s="39">
        <v>2521480.416143815</v>
      </c>
      <c r="AE19" s="39">
        <v>2525626.65</v>
      </c>
      <c r="AF19" s="39">
        <v>2626628.92</v>
      </c>
      <c r="AG19" s="39">
        <v>2635480.5650661332</v>
      </c>
      <c r="AH19" s="39">
        <v>2962029.49538696</v>
      </c>
      <c r="AI19" s="39">
        <v>2846517.12</v>
      </c>
      <c r="AJ19" s="39">
        <v>3063100.49891668</v>
      </c>
      <c r="AK19" s="39">
        <v>2857075.9268625504</v>
      </c>
      <c r="AL19" s="39">
        <v>3296059.5204656413</v>
      </c>
      <c r="AM19" s="39">
        <v>3111552.07334847</v>
      </c>
      <c r="AN19" s="39">
        <v>2599921.0099999998</v>
      </c>
      <c r="AO19" s="39">
        <v>2478113.6182848271</v>
      </c>
      <c r="AP19" s="39">
        <v>2314425.9221675675</v>
      </c>
      <c r="AQ19" s="39">
        <v>2287915.0596743599</v>
      </c>
      <c r="AR19" s="39">
        <v>1714869.4463844583</v>
      </c>
      <c r="AS19" s="39">
        <v>1919664.4594400001</v>
      </c>
      <c r="AT19" s="39">
        <v>1305553.5424731101</v>
      </c>
      <c r="AU19" s="39">
        <v>1208212.8306720699</v>
      </c>
      <c r="AV19" s="39">
        <v>1313148.6500000001</v>
      </c>
      <c r="AW19" s="39">
        <v>1064931.3706860039</v>
      </c>
      <c r="AX19" s="39">
        <v>1049996.2911988001</v>
      </c>
      <c r="AY19" s="39">
        <v>1072864.1047289253</v>
      </c>
      <c r="AZ19" s="39">
        <v>861460.13</v>
      </c>
      <c r="BA19" s="39">
        <v>860228.36</v>
      </c>
      <c r="BB19" s="39">
        <v>811364.51</v>
      </c>
      <c r="BC19" s="39">
        <v>813506.37000000011</v>
      </c>
      <c r="BD19" s="39">
        <v>1097063.0699999998</v>
      </c>
      <c r="BE19" s="39">
        <v>540852.27999999991</v>
      </c>
      <c r="BF19" s="39">
        <v>467874.3660942</v>
      </c>
      <c r="BG19" s="39">
        <v>236373.66</v>
      </c>
      <c r="BH19" s="39">
        <v>0</v>
      </c>
      <c r="BI19" s="40"/>
      <c r="BJ19" s="145">
        <v>7593326.6172127398</v>
      </c>
      <c r="BK19" s="57"/>
      <c r="BL19" s="56">
        <v>78133378</v>
      </c>
      <c r="BM19" s="57"/>
      <c r="BN19" s="56">
        <v>189717446</v>
      </c>
    </row>
    <row r="20" spans="1:68" ht="18.75" customHeight="1" x14ac:dyDescent="0.25">
      <c r="B20" s="38" t="s">
        <v>81</v>
      </c>
      <c r="C20" s="39">
        <v>4834575</v>
      </c>
      <c r="D20" s="39">
        <v>3090852.0786953261</v>
      </c>
      <c r="E20" s="39">
        <v>1991593.7440194071</v>
      </c>
      <c r="F20" s="39">
        <v>-500539.24876178487</v>
      </c>
      <c r="G20" s="39">
        <v>3168139.9849304608</v>
      </c>
      <c r="H20" s="39">
        <v>7075153.7590660499</v>
      </c>
      <c r="I20" s="39">
        <v>8539684.9654620793</v>
      </c>
      <c r="J20" s="39">
        <v>7944229.8561479002</v>
      </c>
      <c r="K20" s="39">
        <v>6012448.3332701605</v>
      </c>
      <c r="L20" s="39">
        <v>6841459.0824516099</v>
      </c>
      <c r="M20" s="39">
        <v>4601148.6006916603</v>
      </c>
      <c r="N20" s="39">
        <v>7125688.4409234896</v>
      </c>
      <c r="O20" s="39">
        <v>2107330.66</v>
      </c>
      <c r="P20" s="39">
        <v>14332741.02538757</v>
      </c>
      <c r="Q20" s="39">
        <v>5065090.93</v>
      </c>
      <c r="R20" s="39">
        <v>4046945.7800000003</v>
      </c>
      <c r="S20" s="39">
        <v>1529251.5299999998</v>
      </c>
      <c r="T20" s="39">
        <v>1463047.6894175068</v>
      </c>
      <c r="U20" s="39">
        <v>8303068.8823633799</v>
      </c>
      <c r="V20" s="39">
        <v>1566890.1219147006</v>
      </c>
      <c r="W20" s="39">
        <v>1311462.23</v>
      </c>
      <c r="X20" s="39">
        <v>1516159.59</v>
      </c>
      <c r="Y20" s="39">
        <v>5458259.0441930164</v>
      </c>
      <c r="Z20" s="39">
        <v>3004905.8061892302</v>
      </c>
      <c r="AA20" s="39">
        <v>1866922.1028777959</v>
      </c>
      <c r="AB20" s="39">
        <v>1365919.5120848462</v>
      </c>
      <c r="AC20" s="39">
        <v>1319541.08</v>
      </c>
      <c r="AD20" s="39">
        <v>978244.75421469694</v>
      </c>
      <c r="AE20" s="39">
        <v>1045223.9</v>
      </c>
      <c r="AF20" s="39">
        <v>770134.26</v>
      </c>
      <c r="AG20" s="39">
        <v>467960.46824974322</v>
      </c>
      <c r="AH20" s="39">
        <v>374694.07005266898</v>
      </c>
      <c r="AI20" s="39">
        <v>814517.31701047567</v>
      </c>
      <c r="AJ20" s="39">
        <v>402014.4680937957</v>
      </c>
      <c r="AK20" s="39">
        <v>972157.82374286151</v>
      </c>
      <c r="AL20" s="39">
        <v>1826947.155099751</v>
      </c>
      <c r="AM20" s="39">
        <v>988238.60772518662</v>
      </c>
      <c r="AN20" s="39">
        <v>230015.13</v>
      </c>
      <c r="AO20" s="39">
        <v>11906.079058547515</v>
      </c>
      <c r="AP20" s="39">
        <v>-39214.479098797477</v>
      </c>
      <c r="AQ20" s="39">
        <v>253915.00478654203</v>
      </c>
      <c r="AR20" s="39">
        <v>224380.59700119155</v>
      </c>
      <c r="AS20" s="39">
        <v>237643.96101850795</v>
      </c>
      <c r="AT20" s="39">
        <v>861639.413158054</v>
      </c>
      <c r="AU20" s="39">
        <v>511423.15790774988</v>
      </c>
      <c r="AV20" s="39">
        <v>423075.64</v>
      </c>
      <c r="AW20" s="39">
        <v>644938.66863482201</v>
      </c>
      <c r="AX20" s="39">
        <v>522229.9186561089</v>
      </c>
      <c r="AY20" s="39">
        <v>-52933.004728926113</v>
      </c>
      <c r="AZ20" s="39">
        <v>225434.74265149035</v>
      </c>
      <c r="BA20" s="39">
        <v>465022.32908442459</v>
      </c>
      <c r="BB20" s="39">
        <v>216364.52497797564</v>
      </c>
      <c r="BC20" s="39">
        <v>161226.25958044024</v>
      </c>
      <c r="BD20" s="39">
        <v>591438.15522960224</v>
      </c>
      <c r="BE20" s="39">
        <v>264865.54657366197</v>
      </c>
      <c r="BF20" s="39">
        <v>103446.88069913903</v>
      </c>
      <c r="BG20" s="39">
        <v>9921.3219159201599</v>
      </c>
      <c r="BH20" s="39">
        <v>0</v>
      </c>
      <c r="BI20" s="40"/>
      <c r="BJ20" s="145">
        <v>4834574.5543613229</v>
      </c>
      <c r="BK20" s="57"/>
      <c r="BL20" s="56">
        <v>60724434</v>
      </c>
      <c r="BM20" s="57"/>
      <c r="BN20" s="56">
        <v>135009658</v>
      </c>
    </row>
    <row r="21" spans="1:68" ht="18.75" customHeight="1" x14ac:dyDescent="0.25">
      <c r="B21" s="38" t="s">
        <v>82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96217.320000000036</v>
      </c>
      <c r="AO21" s="39">
        <v>82284.249999999913</v>
      </c>
      <c r="AP21" s="39">
        <v>84845.000000000073</v>
      </c>
      <c r="AQ21" s="39">
        <v>104951.79999999999</v>
      </c>
      <c r="AR21" s="39">
        <v>76088.55</v>
      </c>
      <c r="AS21" s="39">
        <v>222135.69</v>
      </c>
      <c r="AT21" s="39">
        <v>228025.1</v>
      </c>
      <c r="AU21" s="39">
        <v>223679.15</v>
      </c>
      <c r="AV21" s="39">
        <v>95846.268412862264</v>
      </c>
      <c r="AW21" s="39">
        <v>62608.95</v>
      </c>
      <c r="AX21" s="39">
        <v>89757.49</v>
      </c>
      <c r="AY21" s="39">
        <v>2220.4699999999793</v>
      </c>
      <c r="AZ21" s="39">
        <v>2331.75</v>
      </c>
      <c r="BA21" s="39">
        <v>1997.98</v>
      </c>
      <c r="BB21" s="39">
        <v>12043.749999999935</v>
      </c>
      <c r="BC21" s="39">
        <v>0</v>
      </c>
      <c r="BD21" s="39">
        <v>1912.2300000000032</v>
      </c>
      <c r="BE21" s="39">
        <v>122786.09000000001</v>
      </c>
      <c r="BF21" s="39">
        <v>51206.738061719108</v>
      </c>
      <c r="BG21" s="39">
        <v>65291.549999999996</v>
      </c>
      <c r="BH21" s="39">
        <v>0</v>
      </c>
      <c r="BI21" s="40"/>
      <c r="BJ21" s="145">
        <v>0</v>
      </c>
      <c r="BK21" s="57"/>
      <c r="BL21" s="56" t="s">
        <v>214</v>
      </c>
      <c r="BM21" s="57"/>
      <c r="BN21" s="56">
        <v>1626230</v>
      </c>
    </row>
    <row r="22" spans="1:68" ht="18.75" customHeight="1" x14ac:dyDescent="0.25">
      <c r="B22" s="38" t="s">
        <v>83</v>
      </c>
      <c r="C22" s="39">
        <v>1466759</v>
      </c>
      <c r="D22" s="39">
        <v>1162180.28</v>
      </c>
      <c r="E22" s="39">
        <v>763728.45</v>
      </c>
      <c r="F22" s="39">
        <v>704324.17</v>
      </c>
      <c r="G22" s="39">
        <v>792829.60000000009</v>
      </c>
      <c r="H22" s="39">
        <v>773923.92999999993</v>
      </c>
      <c r="I22" s="39">
        <v>793064.25</v>
      </c>
      <c r="J22" s="39">
        <v>880272.69999999925</v>
      </c>
      <c r="K22" s="39">
        <v>457935.26000000071</v>
      </c>
      <c r="L22" s="39">
        <v>529143.79999999981</v>
      </c>
      <c r="M22" s="39">
        <v>423966.6799999997</v>
      </c>
      <c r="N22" s="39">
        <v>696631.77000000048</v>
      </c>
      <c r="O22" s="39">
        <v>1115197.6599999999</v>
      </c>
      <c r="P22" s="39">
        <v>1095102.06</v>
      </c>
      <c r="Q22" s="39">
        <v>384183.64999999991</v>
      </c>
      <c r="R22" s="39">
        <v>436040.09000000008</v>
      </c>
      <c r="S22" s="39">
        <v>533376.54999999993</v>
      </c>
      <c r="T22" s="39">
        <v>546603.68999999994</v>
      </c>
      <c r="U22" s="39">
        <v>413626.93</v>
      </c>
      <c r="V22" s="39">
        <v>453142.39999999944</v>
      </c>
      <c r="W22" s="39">
        <v>459227.54999999981</v>
      </c>
      <c r="X22" s="39">
        <v>412934.80000000075</v>
      </c>
      <c r="Y22" s="39">
        <v>405196.66999999993</v>
      </c>
      <c r="Z22" s="39">
        <v>793015.01999999955</v>
      </c>
      <c r="AA22" s="39">
        <v>781471.02</v>
      </c>
      <c r="AB22" s="39">
        <v>740526.27000000025</v>
      </c>
      <c r="AC22" s="39">
        <v>515235.95999999996</v>
      </c>
      <c r="AD22" s="39">
        <v>479182.86</v>
      </c>
      <c r="AE22" s="39">
        <v>449188.58</v>
      </c>
      <c r="AF22" s="39">
        <v>284445.3</v>
      </c>
      <c r="AG22" s="39">
        <v>244709.21000000002</v>
      </c>
      <c r="AH22" s="39">
        <v>222519.04000000004</v>
      </c>
      <c r="AI22" s="39">
        <v>226917.72999999998</v>
      </c>
      <c r="AJ22" s="39">
        <v>278431.32</v>
      </c>
      <c r="AK22" s="39">
        <v>225241.32</v>
      </c>
      <c r="AL22" s="39">
        <v>268496.78999999998</v>
      </c>
      <c r="AM22" s="39">
        <v>282039.50999999978</v>
      </c>
      <c r="AN22" s="39">
        <v>450445.13000000012</v>
      </c>
      <c r="AO22" s="39">
        <v>478607</v>
      </c>
      <c r="AP22" s="39">
        <v>422604.47</v>
      </c>
      <c r="AQ22" s="39">
        <v>439827.18999999994</v>
      </c>
      <c r="AR22" s="39">
        <v>400758.73000000004</v>
      </c>
      <c r="AS22" s="39">
        <v>436785.33</v>
      </c>
      <c r="AT22" s="39">
        <v>397185.36280415999</v>
      </c>
      <c r="AU22" s="39">
        <v>299983.27</v>
      </c>
      <c r="AV22" s="39">
        <v>194634.61</v>
      </c>
      <c r="AW22" s="39">
        <v>170659.25</v>
      </c>
      <c r="AX22" s="39">
        <v>227567.88</v>
      </c>
      <c r="AY22" s="39">
        <v>31571.610000000008</v>
      </c>
      <c r="AZ22" s="39">
        <v>18959.689999999999</v>
      </c>
      <c r="BA22" s="39">
        <v>22536.99</v>
      </c>
      <c r="BB22" s="39">
        <v>19317.419999999998</v>
      </c>
      <c r="BC22" s="39">
        <v>24683.37</v>
      </c>
      <c r="BD22" s="39">
        <v>24325.64</v>
      </c>
      <c r="BE22" s="39">
        <v>78045.66</v>
      </c>
      <c r="BF22" s="39">
        <v>73088.61</v>
      </c>
      <c r="BG22" s="39">
        <v>0</v>
      </c>
      <c r="BH22" s="39">
        <v>0</v>
      </c>
      <c r="BI22" s="40"/>
      <c r="BJ22" s="145">
        <v>1466759.46</v>
      </c>
      <c r="BK22" s="57"/>
      <c r="BL22" s="56">
        <v>9444760</v>
      </c>
      <c r="BM22" s="57"/>
      <c r="BN22" s="56">
        <v>25702400</v>
      </c>
    </row>
    <row r="23" spans="1:68" ht="18.75" customHeight="1" x14ac:dyDescent="0.25">
      <c r="B23" s="38" t="s">
        <v>84</v>
      </c>
      <c r="C23" s="39">
        <v>364141</v>
      </c>
      <c r="D23" s="39">
        <v>473092.89</v>
      </c>
      <c r="E23" s="39">
        <v>360539.05</v>
      </c>
      <c r="F23" s="39">
        <v>365455.4699999998</v>
      </c>
      <c r="G23" s="39">
        <v>435520.66000000003</v>
      </c>
      <c r="H23" s="39">
        <v>934068.34</v>
      </c>
      <c r="I23" s="39">
        <v>1595941.9</v>
      </c>
      <c r="J23" s="39">
        <v>1296066.5200000009</v>
      </c>
      <c r="K23" s="39">
        <v>423102.8599999994</v>
      </c>
      <c r="L23" s="39">
        <v>257064.74000000022</v>
      </c>
      <c r="M23" s="39">
        <v>290365.28000000003</v>
      </c>
      <c r="N23" s="39">
        <v>240909.82000000007</v>
      </c>
      <c r="O23" s="39">
        <v>287307.58000000007</v>
      </c>
      <c r="P23" s="39">
        <v>286786.34999999986</v>
      </c>
      <c r="Q23" s="39">
        <v>286106.89999999985</v>
      </c>
      <c r="R23" s="39">
        <v>273170.32</v>
      </c>
      <c r="S23" s="39">
        <v>337611.25</v>
      </c>
      <c r="T23" s="39">
        <v>285174.45</v>
      </c>
      <c r="U23" s="39">
        <v>516184.86</v>
      </c>
      <c r="V23" s="39">
        <v>382799.72999994515</v>
      </c>
      <c r="W23" s="39">
        <v>57247.899999999994</v>
      </c>
      <c r="X23" s="39">
        <v>105974.49000000954</v>
      </c>
      <c r="Y23" s="39">
        <v>105534.32000003816</v>
      </c>
      <c r="Z23" s="39">
        <v>32513.520000004763</v>
      </c>
      <c r="AA23" s="39">
        <v>97339.579999997019</v>
      </c>
      <c r="AB23" s="39">
        <v>144309.97999999463</v>
      </c>
      <c r="AC23" s="39">
        <v>64077.599999998216</v>
      </c>
      <c r="AD23" s="39">
        <v>72561.940000003582</v>
      </c>
      <c r="AE23" s="39">
        <v>-5424.02</v>
      </c>
      <c r="AF23" s="39">
        <v>73061.89</v>
      </c>
      <c r="AG23" s="39">
        <v>44550.35</v>
      </c>
      <c r="AH23" s="39">
        <v>46253.610000000197</v>
      </c>
      <c r="AI23" s="39">
        <v>52580.619999999879</v>
      </c>
      <c r="AJ23" s="39">
        <v>29707.809999999899</v>
      </c>
      <c r="AK23" s="39">
        <v>73286.719999999856</v>
      </c>
      <c r="AL23" s="39">
        <v>54724.440000000177</v>
      </c>
      <c r="AM23" s="39">
        <v>122845.65999999992</v>
      </c>
      <c r="AN23" s="39">
        <v>268020.96000000014</v>
      </c>
      <c r="AO23" s="39">
        <v>196935.42000000004</v>
      </c>
      <c r="AP23" s="39">
        <v>292838.80999999994</v>
      </c>
      <c r="AQ23" s="39">
        <v>114923.95999999996</v>
      </c>
      <c r="AR23" s="39">
        <v>179193.20999999993</v>
      </c>
      <c r="AS23" s="39">
        <v>365680.80000000005</v>
      </c>
      <c r="AT23" s="39">
        <v>363770.36</v>
      </c>
      <c r="AU23" s="39">
        <v>654217.63000000012</v>
      </c>
      <c r="AV23" s="39">
        <v>0</v>
      </c>
      <c r="AW23" s="39">
        <v>132616.20000000019</v>
      </c>
      <c r="AX23" s="39">
        <v>227898.05</v>
      </c>
      <c r="AY23" s="39">
        <v>392322.18</v>
      </c>
      <c r="AZ23" s="39">
        <v>16173.650166201893</v>
      </c>
      <c r="BA23" s="39">
        <v>50107.192895399327</v>
      </c>
      <c r="BB23" s="39">
        <v>52881.930000000015</v>
      </c>
      <c r="BC23" s="39">
        <v>59172.29912548334</v>
      </c>
      <c r="BD23" s="39">
        <v>68325.997960955399</v>
      </c>
      <c r="BE23" s="39">
        <v>49304.829999999994</v>
      </c>
      <c r="BF23" s="39">
        <v>53592.840000000011</v>
      </c>
      <c r="BG23" s="39">
        <v>340768.76</v>
      </c>
      <c r="BH23" s="39">
        <v>0</v>
      </c>
      <c r="BI23" s="40"/>
      <c r="BJ23" s="145">
        <v>364140.77999999974</v>
      </c>
      <c r="BK23" s="57"/>
      <c r="BL23" s="56">
        <v>7036268</v>
      </c>
      <c r="BM23" s="57"/>
      <c r="BN23" s="56">
        <v>14741301</v>
      </c>
    </row>
    <row r="24" spans="1:68" ht="18.75" customHeight="1" x14ac:dyDescent="0.25">
      <c r="B24" s="35" t="s">
        <v>85</v>
      </c>
      <c r="C24" s="36">
        <v>-1017672</v>
      </c>
      <c r="D24" s="36">
        <v>-989557.37</v>
      </c>
      <c r="E24" s="36">
        <v>-1102124.74</v>
      </c>
      <c r="F24" s="36">
        <v>-1086100.2</v>
      </c>
      <c r="G24" s="36">
        <v>-1109971.5699999998</v>
      </c>
      <c r="H24" s="36">
        <v>-1127930.8599999996</v>
      </c>
      <c r="I24" s="36">
        <v>-1145529.4099999999</v>
      </c>
      <c r="J24" s="36">
        <v>-1065968.7400000007</v>
      </c>
      <c r="K24" s="36">
        <v>-928481.26999999932</v>
      </c>
      <c r="L24" s="36">
        <v>-910886.23000000033</v>
      </c>
      <c r="M24" s="36">
        <v>-906033.24</v>
      </c>
      <c r="N24" s="36">
        <v>-908534.97999999986</v>
      </c>
      <c r="O24" s="36">
        <v>-904452.89</v>
      </c>
      <c r="P24" s="36">
        <v>-872957.38000000024</v>
      </c>
      <c r="Q24" s="36">
        <v>-909544.74999999988</v>
      </c>
      <c r="R24" s="36">
        <v>-886509.08</v>
      </c>
      <c r="S24" s="36">
        <v>-877429.71000000008</v>
      </c>
      <c r="T24" s="36">
        <v>-917071.29999999993</v>
      </c>
      <c r="U24" s="36">
        <v>-901952.16999999993</v>
      </c>
      <c r="V24" s="36">
        <v>-768468.94000000041</v>
      </c>
      <c r="W24" s="36">
        <v>-680983.8899999999</v>
      </c>
      <c r="X24" s="36">
        <v>-725463.95</v>
      </c>
      <c r="Y24" s="36">
        <v>-764202.4800000001</v>
      </c>
      <c r="Z24" s="36">
        <v>-690787.67999999993</v>
      </c>
      <c r="AA24" s="36">
        <v>-656107.67999999993</v>
      </c>
      <c r="AB24" s="36">
        <v>-644895.43000000017</v>
      </c>
      <c r="AC24" s="36">
        <v>-674659.48</v>
      </c>
      <c r="AD24" s="36">
        <v>-690290.6</v>
      </c>
      <c r="AE24" s="36">
        <v>-738752.05999999994</v>
      </c>
      <c r="AF24" s="36">
        <v>-657584.97000000009</v>
      </c>
      <c r="AG24" s="36">
        <v>-632473.03459009412</v>
      </c>
      <c r="AH24" s="36">
        <v>-630084.77</v>
      </c>
      <c r="AI24" s="36">
        <v>-583978.62</v>
      </c>
      <c r="AJ24" s="36">
        <v>-588007.80524829996</v>
      </c>
      <c r="AK24" s="36">
        <v>-654014.50000000012</v>
      </c>
      <c r="AL24" s="36">
        <v>-667230.38000000012</v>
      </c>
      <c r="AM24" s="36">
        <v>-691407.8200000003</v>
      </c>
      <c r="AN24" s="36">
        <v>-663141</v>
      </c>
      <c r="AO24" s="36">
        <v>-635797.94000000018</v>
      </c>
      <c r="AP24" s="36">
        <v>-696652.29999999993</v>
      </c>
      <c r="AQ24" s="36">
        <v>-460560.75</v>
      </c>
      <c r="AR24" s="36">
        <v>-448897.11000000004</v>
      </c>
      <c r="AS24" s="36">
        <v>-538476.18000000005</v>
      </c>
      <c r="AT24" s="36">
        <v>-375890.36162965116</v>
      </c>
      <c r="AU24" s="36">
        <v>-527285.01</v>
      </c>
      <c r="AV24" s="36">
        <v>-358929.62999999995</v>
      </c>
      <c r="AW24" s="36">
        <v>-219368.41</v>
      </c>
      <c r="AX24" s="36">
        <v>-279259.61000000004</v>
      </c>
      <c r="AY24" s="36">
        <v>-187432.89</v>
      </c>
      <c r="AZ24" s="36">
        <v>-57471.405507841962</v>
      </c>
      <c r="BA24" s="36">
        <v>-133365.56264166665</v>
      </c>
      <c r="BB24" s="36">
        <v>-149663.926456352</v>
      </c>
      <c r="BC24" s="36">
        <v>-122406.80870592401</v>
      </c>
      <c r="BD24" s="36">
        <v>-131943.70319055699</v>
      </c>
      <c r="BE24" s="36">
        <v>-128064.51</v>
      </c>
      <c r="BF24" s="36">
        <v>-127742.10291677713</v>
      </c>
      <c r="BG24" s="36">
        <v>-122761.07999999999</v>
      </c>
      <c r="BH24" s="36">
        <v>0</v>
      </c>
      <c r="BI24" s="37"/>
      <c r="BJ24" s="144">
        <v>-1017672.4</v>
      </c>
      <c r="BK24" s="55"/>
      <c r="BL24" s="54">
        <v>-12298791</v>
      </c>
      <c r="BM24" s="55"/>
      <c r="BN24" s="54">
        <v>-37073213</v>
      </c>
    </row>
    <row r="25" spans="1:68" ht="18.75" customHeight="1" x14ac:dyDescent="0.25">
      <c r="B25" s="38" t="s">
        <v>86</v>
      </c>
      <c r="C25" s="39">
        <v>-1017672</v>
      </c>
      <c r="D25" s="39">
        <v>-989557.37</v>
      </c>
      <c r="E25" s="39">
        <v>-1102124.74</v>
      </c>
      <c r="F25" s="39">
        <v>-1086100.2</v>
      </c>
      <c r="G25" s="39">
        <v>-1109971.5699999998</v>
      </c>
      <c r="H25" s="39">
        <v>-1127930.8599999996</v>
      </c>
      <c r="I25" s="39">
        <v>-1145529.4099999999</v>
      </c>
      <c r="J25" s="39">
        <v>-1065968.7400000007</v>
      </c>
      <c r="K25" s="39">
        <v>-928481.26999999932</v>
      </c>
      <c r="L25" s="39">
        <v>-910886.23000000033</v>
      </c>
      <c r="M25" s="39">
        <v>-906033.24</v>
      </c>
      <c r="N25" s="39">
        <v>-908534.97999999986</v>
      </c>
      <c r="O25" s="39">
        <v>-904452.89</v>
      </c>
      <c r="P25" s="39">
        <v>-872957.38000000024</v>
      </c>
      <c r="Q25" s="39">
        <v>-909544.74999999988</v>
      </c>
      <c r="R25" s="39">
        <v>-886509.08</v>
      </c>
      <c r="S25" s="39">
        <v>-877429.71000000008</v>
      </c>
      <c r="T25" s="39">
        <v>-917071.29999999993</v>
      </c>
      <c r="U25" s="39">
        <v>-901952.16999999993</v>
      </c>
      <c r="V25" s="39">
        <v>-768468.94000000041</v>
      </c>
      <c r="W25" s="39">
        <v>-680983.8899999999</v>
      </c>
      <c r="X25" s="39">
        <v>-725463.95</v>
      </c>
      <c r="Y25" s="39">
        <v>-764202.4800000001</v>
      </c>
      <c r="Z25" s="39">
        <v>-690787.67999999993</v>
      </c>
      <c r="AA25" s="39">
        <v>-656107.67999999993</v>
      </c>
      <c r="AB25" s="39">
        <v>-644895.43000000017</v>
      </c>
      <c r="AC25" s="39">
        <v>-674659.48</v>
      </c>
      <c r="AD25" s="39">
        <v>-690290.6</v>
      </c>
      <c r="AE25" s="39">
        <v>-738752.05999999994</v>
      </c>
      <c r="AF25" s="39">
        <v>-657584.97000000009</v>
      </c>
      <c r="AG25" s="39">
        <v>-632473.03459009412</v>
      </c>
      <c r="AH25" s="39">
        <v>-630084.77</v>
      </c>
      <c r="AI25" s="39">
        <v>-583978.62</v>
      </c>
      <c r="AJ25" s="39">
        <v>-588007.80524829996</v>
      </c>
      <c r="AK25" s="39">
        <v>-654014.50000000012</v>
      </c>
      <c r="AL25" s="39">
        <v>-667230.38000000012</v>
      </c>
      <c r="AM25" s="39">
        <v>-691407.8200000003</v>
      </c>
      <c r="AN25" s="39">
        <v>-663141</v>
      </c>
      <c r="AO25" s="39">
        <v>-635797.94000000018</v>
      </c>
      <c r="AP25" s="39">
        <v>-696652.29999999993</v>
      </c>
      <c r="AQ25" s="39">
        <v>-460560.75</v>
      </c>
      <c r="AR25" s="39">
        <v>-448897.11000000004</v>
      </c>
      <c r="AS25" s="39">
        <v>-538476.18000000005</v>
      </c>
      <c r="AT25" s="39">
        <v>-375890.36162965116</v>
      </c>
      <c r="AU25" s="39">
        <v>-527285.01</v>
      </c>
      <c r="AV25" s="39">
        <v>-358929.62999999995</v>
      </c>
      <c r="AW25" s="39">
        <v>-219368.41</v>
      </c>
      <c r="AX25" s="39">
        <v>-279259.61000000004</v>
      </c>
      <c r="AY25" s="39">
        <v>-187432.89</v>
      </c>
      <c r="AZ25" s="39">
        <v>-57471.405507841962</v>
      </c>
      <c r="BA25" s="39">
        <v>-133365.56264166665</v>
      </c>
      <c r="BB25" s="39">
        <v>-149663.926456352</v>
      </c>
      <c r="BC25" s="39">
        <v>-122406.80870592401</v>
      </c>
      <c r="BD25" s="39">
        <v>-131943.70319055699</v>
      </c>
      <c r="BE25" s="39">
        <v>-128064.51</v>
      </c>
      <c r="BF25" s="39">
        <v>-127742.10291677713</v>
      </c>
      <c r="BG25" s="39">
        <v>-122761.07999999999</v>
      </c>
      <c r="BH25" s="39">
        <v>0</v>
      </c>
      <c r="BI25" s="40"/>
      <c r="BJ25" s="145">
        <v>-1017672.4</v>
      </c>
      <c r="BK25" s="57"/>
      <c r="BL25" s="56">
        <v>-12298791</v>
      </c>
      <c r="BM25" s="57"/>
      <c r="BN25" s="56">
        <v>-37073213</v>
      </c>
    </row>
    <row r="26" spans="1:68" ht="18.75" customHeight="1" x14ac:dyDescent="0.25">
      <c r="B26" s="35" t="s">
        <v>87</v>
      </c>
      <c r="C26" s="36">
        <v>13241129</v>
      </c>
      <c r="D26" s="36">
        <v>9780880.6139368564</v>
      </c>
      <c r="E26" s="36">
        <v>8662060.8145694062</v>
      </c>
      <c r="F26" s="36">
        <v>6629829.669481392</v>
      </c>
      <c r="G26" s="36">
        <v>10059149.842113871</v>
      </c>
      <c r="H26" s="36">
        <v>15247840.8671673</v>
      </c>
      <c r="I26" s="36">
        <v>16042368.884997632</v>
      </c>
      <c r="J26" s="36">
        <v>15935469.413622404</v>
      </c>
      <c r="K26" s="36">
        <v>11637551.263270162</v>
      </c>
      <c r="L26" s="36">
        <v>13146023.04775154</v>
      </c>
      <c r="M26" s="36">
        <v>9726432.431410769</v>
      </c>
      <c r="N26" s="36">
        <v>12931314.150923491</v>
      </c>
      <c r="O26" s="36">
        <v>8159678.8400000008</v>
      </c>
      <c r="P26" s="36">
        <v>20020879.958025012</v>
      </c>
      <c r="Q26" s="36">
        <v>10059660.57</v>
      </c>
      <c r="R26" s="36">
        <v>8804802.8499999996</v>
      </c>
      <c r="S26" s="36">
        <v>6438586.9499999993</v>
      </c>
      <c r="T26" s="36">
        <v>5899340.3293001186</v>
      </c>
      <c r="U26" s="36">
        <v>11964344.407056408</v>
      </c>
      <c r="V26" s="36">
        <v>5489733.5993649717</v>
      </c>
      <c r="W26" s="36">
        <v>4543336.2200000007</v>
      </c>
      <c r="X26" s="36">
        <v>4214741.9400000097</v>
      </c>
      <c r="Y26" s="36">
        <v>7748590.6641930528</v>
      </c>
      <c r="Z26" s="36">
        <v>5788620.5236500148</v>
      </c>
      <c r="AA26" s="36">
        <v>4771343.8191277487</v>
      </c>
      <c r="AB26" s="36">
        <v>4234662.8078341726</v>
      </c>
      <c r="AC26" s="36">
        <v>3710922.2199999974</v>
      </c>
      <c r="AD26" s="36">
        <v>3361179.3703585155</v>
      </c>
      <c r="AE26" s="36">
        <v>3275863.05</v>
      </c>
      <c r="AF26" s="36">
        <v>3096685.3999999994</v>
      </c>
      <c r="AG26" s="36">
        <v>2760227.5587257827</v>
      </c>
      <c r="AH26" s="36">
        <v>2975411.4454396293</v>
      </c>
      <c r="AI26" s="36">
        <v>3356554.1670104759</v>
      </c>
      <c r="AJ26" s="36">
        <v>3185246.2917621755</v>
      </c>
      <c r="AK26" s="36">
        <v>3473747.2906054114</v>
      </c>
      <c r="AL26" s="36">
        <v>4778997.5255653923</v>
      </c>
      <c r="AM26" s="36">
        <v>3813268.0310736559</v>
      </c>
      <c r="AN26" s="36">
        <v>2981478.55</v>
      </c>
      <c r="AO26" s="36">
        <v>2612048.4273433741</v>
      </c>
      <c r="AP26" s="36">
        <v>2378847.4230687707</v>
      </c>
      <c r="AQ26" s="36">
        <v>2740972.2644609017</v>
      </c>
      <c r="AR26" s="36">
        <v>2146393.4233856499</v>
      </c>
      <c r="AS26" s="36">
        <v>2643434.0604585079</v>
      </c>
      <c r="AT26" s="36">
        <v>2780283.4168056725</v>
      </c>
      <c r="AU26" s="36">
        <v>2370231.0285798199</v>
      </c>
      <c r="AV26" s="36">
        <v>1667775.5384128625</v>
      </c>
      <c r="AW26" s="36">
        <v>1856386.0293208263</v>
      </c>
      <c r="AX26" s="36">
        <v>1838190.0198549086</v>
      </c>
      <c r="AY26" s="36">
        <v>1258612.4699999993</v>
      </c>
      <c r="AZ26" s="36">
        <v>1066888.5573098501</v>
      </c>
      <c r="BA26" s="36">
        <v>1266527.2893381573</v>
      </c>
      <c r="BB26" s="36">
        <v>962308.2085216234</v>
      </c>
      <c r="BC26" s="36">
        <v>936181.48999999964</v>
      </c>
      <c r="BD26" s="36">
        <v>1651121.3900000004</v>
      </c>
      <c r="BE26" s="36">
        <v>927789.89657366183</v>
      </c>
      <c r="BF26" s="36">
        <v>621467.33193828096</v>
      </c>
      <c r="BG26" s="36">
        <v>529594.21191592014</v>
      </c>
      <c r="BH26" s="36">
        <v>0</v>
      </c>
      <c r="BI26" s="37"/>
      <c r="BJ26" s="144">
        <v>13241129.011574063</v>
      </c>
      <c r="BK26" s="55"/>
      <c r="BL26" s="54">
        <v>143040050</v>
      </c>
      <c r="BM26" s="55"/>
      <c r="BN26" s="54">
        <v>329723822</v>
      </c>
    </row>
    <row r="27" spans="1:68" ht="18.75" customHeight="1" x14ac:dyDescent="0.25">
      <c r="B27" s="38" t="s">
        <v>88</v>
      </c>
      <c r="C27" s="39">
        <v>89585</v>
      </c>
      <c r="D27" s="39">
        <v>1245252.8664032118</v>
      </c>
      <c r="E27" s="39">
        <v>119619.29347960628</v>
      </c>
      <c r="F27" s="39">
        <v>25287.62</v>
      </c>
      <c r="G27" s="39"/>
      <c r="H27" s="39"/>
      <c r="I27" s="39">
        <v>531377.24313700479</v>
      </c>
      <c r="J27" s="39">
        <v>348238.34913776733</v>
      </c>
      <c r="K27" s="39">
        <v>310749.23</v>
      </c>
      <c r="L27" s="39">
        <v>553472.08000000007</v>
      </c>
      <c r="M27" s="39">
        <v>142560.06726500764</v>
      </c>
      <c r="N27" s="39">
        <v>389579.67907651048</v>
      </c>
      <c r="O27" s="39">
        <v>669390.82312087598</v>
      </c>
      <c r="P27" s="39">
        <v>487891.93208321737</v>
      </c>
      <c r="Q27" s="39">
        <v>1295107.67</v>
      </c>
      <c r="R27" s="39"/>
      <c r="S27" s="39">
        <v>195528.74000000022</v>
      </c>
      <c r="T27" s="39">
        <v>208004.91000000015</v>
      </c>
      <c r="U27" s="39"/>
      <c r="V27" s="39">
        <v>22306.320000000298</v>
      </c>
      <c r="W27" s="39">
        <v>0</v>
      </c>
      <c r="X27" s="39">
        <v>40006.400000002235</v>
      </c>
      <c r="Y27" s="39">
        <v>361823.49951166817</v>
      </c>
      <c r="Z27" s="39">
        <v>712621.36000000115</v>
      </c>
      <c r="AA27" s="39">
        <v>5520814.9399999995</v>
      </c>
      <c r="AB27" s="39">
        <v>2953215.24</v>
      </c>
      <c r="AC27" s="39">
        <v>0</v>
      </c>
      <c r="AD27" s="39">
        <v>2941440.52</v>
      </c>
      <c r="AE27" s="39">
        <v>3419730.78</v>
      </c>
      <c r="AF27" s="39">
        <v>0</v>
      </c>
      <c r="AG27" s="39">
        <v>-13007.8</v>
      </c>
      <c r="AH27" s="39">
        <v>633575.41</v>
      </c>
      <c r="AI27" s="39">
        <v>77822.930000000168</v>
      </c>
      <c r="AJ27" s="39">
        <v>24593.469999999739</v>
      </c>
      <c r="AK27" s="39">
        <v>-2859.5335949379883</v>
      </c>
      <c r="AL27" s="39">
        <v>3291065.2876570374</v>
      </c>
      <c r="AM27" s="39">
        <v>-190150.4640631834</v>
      </c>
      <c r="AN27" s="39">
        <v>987168.29075838905</v>
      </c>
      <c r="AO27" s="39">
        <v>397795.00000000116</v>
      </c>
      <c r="AP27" s="39">
        <v>191427.55444657465</v>
      </c>
      <c r="AQ27" s="39">
        <v>17663.499999999942</v>
      </c>
      <c r="AR27" s="39">
        <v>604694.48661435104</v>
      </c>
      <c r="AS27" s="39">
        <v>33413.106018582432</v>
      </c>
      <c r="AT27" s="39">
        <v>-35122.979999999901</v>
      </c>
      <c r="AU27" s="39">
        <v>103467.60142018023</v>
      </c>
      <c r="AV27" s="39">
        <v>59272.14</v>
      </c>
      <c r="AW27" s="39">
        <v>378560.4</v>
      </c>
      <c r="AX27" s="39">
        <v>-2396.9699999999721</v>
      </c>
      <c r="AY27" s="39">
        <v>158623.97</v>
      </c>
      <c r="AZ27" s="39">
        <v>179582.93730863501</v>
      </c>
      <c r="BA27" s="39">
        <v>0</v>
      </c>
      <c r="BB27" s="39">
        <v>221106.48</v>
      </c>
      <c r="BC27" s="39">
        <v>-50.010000000000218</v>
      </c>
      <c r="BD27" s="39">
        <v>13405.59</v>
      </c>
      <c r="BE27" s="39">
        <v>115312.45</v>
      </c>
      <c r="BF27" s="39">
        <v>0</v>
      </c>
      <c r="BG27" s="39">
        <v>0</v>
      </c>
      <c r="BH27" s="39">
        <v>0</v>
      </c>
      <c r="BI27" s="40"/>
      <c r="BJ27" s="145">
        <v>89584.953069291019</v>
      </c>
      <c r="BK27" s="57"/>
      <c r="BL27" s="56">
        <v>3755721</v>
      </c>
      <c r="BM27" s="57"/>
      <c r="BN27" s="56">
        <v>24307752</v>
      </c>
    </row>
    <row r="28" spans="1:68" ht="18.75" customHeight="1" x14ac:dyDescent="0.25">
      <c r="B28" s="38" t="s">
        <v>89</v>
      </c>
      <c r="C28" s="39">
        <v>-112441</v>
      </c>
      <c r="D28" s="39">
        <v>-85001.84</v>
      </c>
      <c r="E28" s="39"/>
      <c r="F28" s="39"/>
      <c r="G28" s="39"/>
      <c r="H28" s="39">
        <v>-1786.3085714136241</v>
      </c>
      <c r="I28" s="39">
        <v>-27784.51</v>
      </c>
      <c r="J28" s="39">
        <v>103357.65999999974</v>
      </c>
      <c r="K28" s="39">
        <v>69274.39000000013</v>
      </c>
      <c r="L28" s="39">
        <v>287028.86</v>
      </c>
      <c r="M28" s="39"/>
      <c r="N28" s="39">
        <v>425431.95999999996</v>
      </c>
      <c r="O28" s="39">
        <v>831497.21</v>
      </c>
      <c r="P28" s="39"/>
      <c r="Q28" s="39">
        <v>33299.020000000019</v>
      </c>
      <c r="R28" s="39">
        <v>79530.399999999994</v>
      </c>
      <c r="S28" s="39">
        <v>362454.72999999992</v>
      </c>
      <c r="T28" s="39">
        <v>19444.04999999993</v>
      </c>
      <c r="U28" s="39">
        <v>473451.02</v>
      </c>
      <c r="V28" s="39">
        <v>143583.72999999986</v>
      </c>
      <c r="W28" s="39">
        <v>247801.55000000034</v>
      </c>
      <c r="X28" s="39">
        <v>93651.209999999846</v>
      </c>
      <c r="Y28" s="39">
        <v>436528.8600000001</v>
      </c>
      <c r="Z28" s="39">
        <v>1601925.88</v>
      </c>
      <c r="AA28" s="39">
        <v>236938.11000000002</v>
      </c>
      <c r="AB28" s="39">
        <v>321437.2</v>
      </c>
      <c r="AC28" s="39">
        <v>71465.600000000006</v>
      </c>
      <c r="AD28" s="39">
        <v>113441.01</v>
      </c>
      <c r="AE28" s="39">
        <v>46930.57</v>
      </c>
      <c r="AF28" s="39">
        <v>-721.34</v>
      </c>
      <c r="AG28" s="39">
        <v>-8908.39</v>
      </c>
      <c r="AH28" s="39">
        <v>272890.4800000001</v>
      </c>
      <c r="AI28" s="39">
        <v>-770.71999999973923</v>
      </c>
      <c r="AJ28" s="39">
        <v>0</v>
      </c>
      <c r="AK28" s="39">
        <v>0</v>
      </c>
      <c r="AL28" s="39">
        <v>12286.49000000034</v>
      </c>
      <c r="AM28" s="39">
        <v>540678.01999999932</v>
      </c>
      <c r="AN28" s="39">
        <v>2247689.5300000003</v>
      </c>
      <c r="AO28" s="39">
        <v>592017.15000000014</v>
      </c>
      <c r="AP28" s="39">
        <v>386180.6</v>
      </c>
      <c r="AQ28" s="39">
        <v>191411.43000000005</v>
      </c>
      <c r="AR28" s="39">
        <v>79055.939999999988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40"/>
      <c r="BJ28" s="145">
        <v>-112440.81</v>
      </c>
      <c r="BK28" s="57"/>
      <c r="BL28" s="56">
        <v>658079</v>
      </c>
      <c r="BM28" s="57"/>
      <c r="BN28" s="56">
        <v>10083269</v>
      </c>
    </row>
    <row r="29" spans="1:68" ht="18.75" customHeight="1" x14ac:dyDescent="0.25">
      <c r="B29" s="38" t="s">
        <v>90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>
        <v>-9634578.1699999999</v>
      </c>
      <c r="Q29" s="39"/>
      <c r="R29" s="39"/>
      <c r="S29" s="39"/>
      <c r="T29" s="39"/>
      <c r="U29" s="39"/>
      <c r="V29" s="39">
        <v>-6662376.0999999987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-8174179.2800000003</v>
      </c>
      <c r="AC29" s="39">
        <v>-30808.81</v>
      </c>
      <c r="AD29" s="39">
        <v>0</v>
      </c>
      <c r="AE29" s="39">
        <v>0</v>
      </c>
      <c r="AF29" s="39">
        <v>0</v>
      </c>
      <c r="AG29" s="39">
        <v>0</v>
      </c>
      <c r="AH29" s="39">
        <v>-1668500.52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-1919485.38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-817044.22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-726306.39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-33879.760000000002</v>
      </c>
      <c r="BG29" s="39">
        <v>0</v>
      </c>
      <c r="BH29" s="39">
        <v>0</v>
      </c>
      <c r="BI29" s="40"/>
      <c r="BJ29" s="145">
        <v>0</v>
      </c>
      <c r="BK29" s="57"/>
      <c r="BL29" s="56" t="s">
        <v>214</v>
      </c>
      <c r="BM29" s="57"/>
      <c r="BN29" s="56">
        <v>-29667159</v>
      </c>
    </row>
    <row r="30" spans="1:68" ht="18.75" customHeight="1" x14ac:dyDescent="0.25">
      <c r="B30" s="35" t="s">
        <v>91</v>
      </c>
      <c r="C30" s="36">
        <v>13218273</v>
      </c>
      <c r="D30" s="36">
        <v>10941131.640340067</v>
      </c>
      <c r="E30" s="36">
        <v>8781680.1080490127</v>
      </c>
      <c r="F30" s="36">
        <v>6655117.2894813921</v>
      </c>
      <c r="G30" s="36">
        <v>10059149.842113871</v>
      </c>
      <c r="H30" s="36">
        <v>15246054.558595886</v>
      </c>
      <c r="I30" s="36">
        <v>16545961.618134636</v>
      </c>
      <c r="J30" s="36">
        <v>16387065.42276017</v>
      </c>
      <c r="K30" s="36">
        <v>12017574.883270163</v>
      </c>
      <c r="L30" s="36">
        <v>13986523.98775154</v>
      </c>
      <c r="M30" s="36">
        <v>9868992.4986757766</v>
      </c>
      <c r="N30" s="36">
        <v>13746325.790000001</v>
      </c>
      <c r="O30" s="36">
        <v>9660566.873120876</v>
      </c>
      <c r="P30" s="36">
        <v>10874193.72010823</v>
      </c>
      <c r="Q30" s="36">
        <v>11388067.26</v>
      </c>
      <c r="R30" s="36">
        <v>8884333.25</v>
      </c>
      <c r="S30" s="36">
        <v>6996570.4199999999</v>
      </c>
      <c r="T30" s="36">
        <v>6126789.2893001186</v>
      </c>
      <c r="U30" s="36">
        <v>12437795.427056408</v>
      </c>
      <c r="V30" s="36">
        <v>-1006752.4506350271</v>
      </c>
      <c r="W30" s="36">
        <v>4791137.7700000014</v>
      </c>
      <c r="X30" s="36">
        <v>4348399.5500000119</v>
      </c>
      <c r="Y30" s="36">
        <v>8546943.0237047207</v>
      </c>
      <c r="Z30" s="36">
        <v>8103167.7636500159</v>
      </c>
      <c r="AA30" s="36">
        <v>10529096.869127749</v>
      </c>
      <c r="AB30" s="36">
        <v>-664864.03216582723</v>
      </c>
      <c r="AC30" s="36">
        <v>3751579.0099999974</v>
      </c>
      <c r="AD30" s="36">
        <v>6416060.9003585149</v>
      </c>
      <c r="AE30" s="36">
        <v>6742524.3999999994</v>
      </c>
      <c r="AF30" s="36">
        <v>3095964.0599999996</v>
      </c>
      <c r="AG30" s="36">
        <v>2738311.3687257827</v>
      </c>
      <c r="AH30" s="36">
        <v>2213376.8154396294</v>
      </c>
      <c r="AI30" s="36">
        <v>3433606.3770104763</v>
      </c>
      <c r="AJ30" s="36">
        <v>3209839.7617621752</v>
      </c>
      <c r="AK30" s="36">
        <v>3470887.7570104734</v>
      </c>
      <c r="AL30" s="36">
        <v>8082349.3032224299</v>
      </c>
      <c r="AM30" s="36">
        <v>4163795.5870104721</v>
      </c>
      <c r="AN30" s="36">
        <v>4296850.9907583892</v>
      </c>
      <c r="AO30" s="36">
        <v>3601860.5773433754</v>
      </c>
      <c r="AP30" s="36">
        <v>2956455.5775153451</v>
      </c>
      <c r="AQ30" s="36">
        <v>2950047.1944609019</v>
      </c>
      <c r="AR30" s="36">
        <v>2830143.850000001</v>
      </c>
      <c r="AS30" s="36">
        <v>2676847.1664770902</v>
      </c>
      <c r="AT30" s="36">
        <v>1928116.2168056727</v>
      </c>
      <c r="AU30" s="36">
        <v>2473698.6300000004</v>
      </c>
      <c r="AV30" s="36">
        <v>1727047.6784128624</v>
      </c>
      <c r="AW30" s="36">
        <v>2234946.4293208262</v>
      </c>
      <c r="AX30" s="36">
        <v>1835793.0498549086</v>
      </c>
      <c r="AY30" s="36">
        <v>1417236.4399999992</v>
      </c>
      <c r="AZ30" s="36">
        <v>520165.10461848509</v>
      </c>
      <c r="BA30" s="36">
        <v>1266527.2893381573</v>
      </c>
      <c r="BB30" s="36">
        <v>1183414.6885216234</v>
      </c>
      <c r="BC30" s="36">
        <v>936131.47999999963</v>
      </c>
      <c r="BD30" s="36">
        <v>1664526.9800000004</v>
      </c>
      <c r="BE30" s="36">
        <v>1043102.3465736618</v>
      </c>
      <c r="BF30" s="36">
        <v>587587.57193828095</v>
      </c>
      <c r="BG30" s="36">
        <v>529594.21191592014</v>
      </c>
      <c r="BH30" s="36">
        <v>0</v>
      </c>
      <c r="BI30" s="37"/>
      <c r="BJ30" s="144">
        <v>13218273.154643355</v>
      </c>
      <c r="BK30" s="55"/>
      <c r="BL30" s="54">
        <v>147453851</v>
      </c>
      <c r="BM30" s="55"/>
      <c r="BN30" s="54">
        <v>334447684</v>
      </c>
    </row>
    <row r="31" spans="1:68" ht="18.75" customHeight="1" x14ac:dyDescent="0.25">
      <c r="A31" s="6"/>
      <c r="B31" s="38" t="s">
        <v>92</v>
      </c>
      <c r="C31" s="39">
        <v>-451311</v>
      </c>
      <c r="D31" s="39">
        <v>1207858.3084639832</v>
      </c>
      <c r="E31" s="39">
        <v>625555.49195098656</v>
      </c>
      <c r="F31" s="39">
        <v>2752118.3105186075</v>
      </c>
      <c r="G31" s="39">
        <v>-651914.25000000745</v>
      </c>
      <c r="H31" s="39">
        <v>-1807146.0837763683</v>
      </c>
      <c r="I31" s="39">
        <v>-1763162.8181346357</v>
      </c>
      <c r="J31" s="39">
        <v>-1875022.7864903901</v>
      </c>
      <c r="K31" s="39">
        <v>451676.11672983598</v>
      </c>
      <c r="L31" s="39">
        <v>-1551763.98775154</v>
      </c>
      <c r="M31" s="39">
        <v>2565767.48858923</v>
      </c>
      <c r="N31" s="39">
        <v>-2347795.79</v>
      </c>
      <c r="O31" s="39">
        <v>1737963.1268791256</v>
      </c>
      <c r="P31" s="39">
        <v>213467.27989181085</v>
      </c>
      <c r="Q31" s="39">
        <v>-2061997.2600000203</v>
      </c>
      <c r="R31" s="39">
        <v>441736.74999999627</v>
      </c>
      <c r="S31" s="39">
        <v>2329499.58</v>
      </c>
      <c r="T31" s="39">
        <v>2163050.7106998814</v>
      </c>
      <c r="U31" s="39">
        <v>-4148384.0570564098</v>
      </c>
      <c r="V31" s="39">
        <v>8608365.4536493104</v>
      </c>
      <c r="W31" s="39">
        <v>1319645.4299999988</v>
      </c>
      <c r="X31" s="39">
        <v>1189497.7249999901</v>
      </c>
      <c r="Y31" s="39">
        <v>-3200007.7300000298</v>
      </c>
      <c r="Z31" s="39">
        <v>-3367310.7836500173</v>
      </c>
      <c r="AA31" s="39">
        <v>-5946009.4691277472</v>
      </c>
      <c r="AB31" s="39">
        <v>5247951.4321658285</v>
      </c>
      <c r="AC31" s="39">
        <v>67660.490000001155</v>
      </c>
      <c r="AD31" s="39">
        <v>-2596821.1503585149</v>
      </c>
      <c r="AE31" s="39">
        <v>-3072963.7908185823</v>
      </c>
      <c r="AF31" s="39">
        <v>375314.44000000041</v>
      </c>
      <c r="AG31" s="39">
        <v>732967.17</v>
      </c>
      <c r="AH31" s="39">
        <v>1605029.5345603707</v>
      </c>
      <c r="AI31" s="39">
        <v>384799.97298952378</v>
      </c>
      <c r="AJ31" s="39">
        <v>608566.58823782485</v>
      </c>
      <c r="AK31" s="39">
        <v>347518.59298952669</v>
      </c>
      <c r="AL31" s="39">
        <v>-3916815.101222429</v>
      </c>
      <c r="AM31" s="39">
        <v>-26359.656265134457</v>
      </c>
      <c r="AN31" s="39">
        <v>-131316.79075839001</v>
      </c>
      <c r="AO31" s="39">
        <v>-46521.623055721109</v>
      </c>
      <c r="AP31" s="39">
        <v>46094.6030687698</v>
      </c>
      <c r="AQ31" s="39">
        <v>6581.8655390981503</v>
      </c>
      <c r="AR31" s="39">
        <v>-14306.653522910085</v>
      </c>
      <c r="AS31" s="39">
        <v>-1817.6404585083901</v>
      </c>
      <c r="AT31" s="39">
        <v>641912.24671009288</v>
      </c>
      <c r="AU31" s="39">
        <v>107485.47</v>
      </c>
      <c r="AV31" s="39">
        <v>-226170.80841286131</v>
      </c>
      <c r="AW31" s="39">
        <v>-461182.23000000068</v>
      </c>
      <c r="AX31" s="39">
        <v>-62028.849854910048</v>
      </c>
      <c r="AY31" s="39">
        <v>0</v>
      </c>
      <c r="AZ31" s="39">
        <v>521403.21</v>
      </c>
      <c r="BA31" s="39">
        <v>-82175.47000000035</v>
      </c>
      <c r="BB31" s="39">
        <v>0</v>
      </c>
      <c r="BC31" s="39">
        <v>174192.52000000037</v>
      </c>
      <c r="BD31" s="39">
        <v>-613420.26</v>
      </c>
      <c r="BE31" s="39">
        <v>0</v>
      </c>
      <c r="BF31" s="39">
        <v>0</v>
      </c>
      <c r="BG31" s="39">
        <v>0</v>
      </c>
      <c r="BH31" s="39">
        <v>0</v>
      </c>
      <c r="BI31" s="40"/>
      <c r="BJ31" s="145">
        <v>-451310.55464335502</v>
      </c>
      <c r="BK31" s="57"/>
      <c r="BL31" s="56">
        <v>-2845141</v>
      </c>
      <c r="BM31" s="57"/>
      <c r="BN31" s="56">
        <v>-3862843</v>
      </c>
      <c r="BO31" s="41"/>
      <c r="BP31" s="42"/>
    </row>
    <row r="32" spans="1:68" ht="18.75" customHeight="1" x14ac:dyDescent="0.25">
      <c r="A32" s="6"/>
      <c r="B32" s="38" t="s">
        <v>93</v>
      </c>
      <c r="C32" s="39"/>
      <c r="D32" s="39"/>
      <c r="E32" s="39">
        <v>0</v>
      </c>
      <c r="F32" s="39"/>
      <c r="G32" s="39"/>
      <c r="H32" s="39"/>
      <c r="I32" s="39"/>
      <c r="J32" s="39">
        <v>-1393370.8362697801</v>
      </c>
      <c r="K32" s="39">
        <v>-34491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>
        <v>-276122.97158298502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-198282.109181418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-118557.80428765394</v>
      </c>
      <c r="AP32" s="39">
        <v>-440993.62528076302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40"/>
      <c r="BJ32" s="145">
        <v>0</v>
      </c>
      <c r="BK32" s="57"/>
      <c r="BL32" s="56">
        <v>-1427862</v>
      </c>
      <c r="BM32" s="57"/>
      <c r="BN32" s="56">
        <v>-2461818</v>
      </c>
    </row>
    <row r="33" spans="2:70" ht="18.75" customHeight="1" x14ac:dyDescent="0.25">
      <c r="B33" s="35" t="s">
        <v>94</v>
      </c>
      <c r="C33" s="36">
        <v>12766963</v>
      </c>
      <c r="D33" s="36">
        <v>12148989.948804051</v>
      </c>
      <c r="E33" s="36">
        <v>9407235.5999999996</v>
      </c>
      <c r="F33" s="36">
        <v>9407235.5999999996</v>
      </c>
      <c r="G33" s="36">
        <v>9407235.5921138637</v>
      </c>
      <c r="H33" s="36">
        <v>13438908.474819519</v>
      </c>
      <c r="I33" s="36">
        <v>14782798.800000001</v>
      </c>
      <c r="J33" s="36">
        <v>13118671.800000001</v>
      </c>
      <c r="K33" s="36">
        <v>12434760</v>
      </c>
      <c r="L33" s="36">
        <v>12434760</v>
      </c>
      <c r="M33" s="36">
        <v>12434759.987265006</v>
      </c>
      <c r="N33" s="36">
        <v>11398530</v>
      </c>
      <c r="O33" s="36">
        <v>11398530.000000002</v>
      </c>
      <c r="P33" s="36">
        <v>11087661.000000041</v>
      </c>
      <c r="Q33" s="36">
        <v>9326069.9999999795</v>
      </c>
      <c r="R33" s="36">
        <v>9326069.9999999963</v>
      </c>
      <c r="S33" s="36">
        <v>9326070</v>
      </c>
      <c r="T33" s="36">
        <v>8289840</v>
      </c>
      <c r="U33" s="36">
        <v>8289411.3699999973</v>
      </c>
      <c r="V33" s="36">
        <v>7325490.0314312987</v>
      </c>
      <c r="W33" s="36">
        <v>6110783.2000000002</v>
      </c>
      <c r="X33" s="36">
        <v>5537897.2750000022</v>
      </c>
      <c r="Y33" s="36">
        <v>5346935.2937046904</v>
      </c>
      <c r="Z33" s="36">
        <v>4735856.9799999986</v>
      </c>
      <c r="AA33" s="36">
        <v>4583087.4000000013</v>
      </c>
      <c r="AB33" s="36">
        <v>4583087.4000000013</v>
      </c>
      <c r="AC33" s="36">
        <v>3819239.4999999986</v>
      </c>
      <c r="AD33" s="36">
        <v>3819239.75</v>
      </c>
      <c r="AE33" s="36">
        <v>3471278.4999999991</v>
      </c>
      <c r="AF33" s="36">
        <v>3471278.5</v>
      </c>
      <c r="AG33" s="36">
        <v>3471278.5387257827</v>
      </c>
      <c r="AH33" s="36">
        <v>3818406.35</v>
      </c>
      <c r="AI33" s="36">
        <v>3818406.35</v>
      </c>
      <c r="AJ33" s="36">
        <v>3818406.35</v>
      </c>
      <c r="AK33" s="36">
        <v>3818406.35</v>
      </c>
      <c r="AL33" s="36">
        <v>4165534.202000001</v>
      </c>
      <c r="AM33" s="36">
        <v>4137435.9307453376</v>
      </c>
      <c r="AN33" s="36">
        <v>4165534.1999999993</v>
      </c>
      <c r="AO33" s="36">
        <v>3436781.1500000004</v>
      </c>
      <c r="AP33" s="36">
        <v>2561556.555303352</v>
      </c>
      <c r="AQ33" s="36">
        <v>2956629.06</v>
      </c>
      <c r="AR33" s="36">
        <v>2815837.1964770909</v>
      </c>
      <c r="AS33" s="36">
        <v>2675029.5260185818</v>
      </c>
      <c r="AT33" s="36">
        <v>2570028.4635157655</v>
      </c>
      <c r="AU33" s="36">
        <v>2581184.1000000006</v>
      </c>
      <c r="AV33" s="36">
        <v>1500876.870000001</v>
      </c>
      <c r="AW33" s="36">
        <v>1773764.1993208255</v>
      </c>
      <c r="AX33" s="36">
        <v>1773764.1999999986</v>
      </c>
      <c r="AY33" s="36">
        <v>1417236.4399999992</v>
      </c>
      <c r="AZ33" s="36">
        <v>1041568.314618485</v>
      </c>
      <c r="BA33" s="36">
        <v>1184351.8193381568</v>
      </c>
      <c r="BB33" s="36">
        <v>1183414.6885216234</v>
      </c>
      <c r="BC33" s="36">
        <v>1110324</v>
      </c>
      <c r="BD33" s="36">
        <v>1051106.7200000004</v>
      </c>
      <c r="BE33" s="36">
        <v>1043102.3465736618</v>
      </c>
      <c r="BF33" s="36">
        <v>587587.57193828095</v>
      </c>
      <c r="BG33" s="36">
        <v>529594.21191592014</v>
      </c>
      <c r="BH33" s="36">
        <v>0</v>
      </c>
      <c r="BI33" s="22"/>
      <c r="BJ33" s="144">
        <v>12766962.6</v>
      </c>
      <c r="BK33" s="58"/>
      <c r="BL33" s="54">
        <v>143180848</v>
      </c>
      <c r="BM33" s="58"/>
      <c r="BN33" s="54">
        <v>328035820</v>
      </c>
    </row>
    <row r="34" spans="2:70" ht="18.75" customHeight="1" x14ac:dyDescent="0.25">
      <c r="B34" s="43" t="s">
        <v>95</v>
      </c>
      <c r="C34" s="44">
        <v>0.95</v>
      </c>
      <c r="D34" s="44">
        <v>0.90401615583677264</v>
      </c>
      <c r="E34" s="44">
        <v>0.7</v>
      </c>
      <c r="F34" s="44">
        <v>0.7</v>
      </c>
      <c r="G34" s="44">
        <v>0.69999999941318625</v>
      </c>
      <c r="H34" s="44">
        <v>1.000000035331704</v>
      </c>
      <c r="I34" s="44">
        <v>1.1000000000000001</v>
      </c>
      <c r="J34" s="44">
        <v>1.266</v>
      </c>
      <c r="K34" s="44">
        <v>1.2</v>
      </c>
      <c r="L34" s="44">
        <v>1.2</v>
      </c>
      <c r="M34" s="44">
        <v>1.1999999987710264</v>
      </c>
      <c r="N34" s="44">
        <v>1.1000000000000001</v>
      </c>
      <c r="O34" s="44">
        <v>1.1000000000000001</v>
      </c>
      <c r="P34" s="44">
        <v>1.0700000000000041</v>
      </c>
      <c r="Q34" s="44">
        <v>0.89999999999999802</v>
      </c>
      <c r="R34" s="44">
        <v>0.89999999999999969</v>
      </c>
      <c r="S34" s="44">
        <v>0.9</v>
      </c>
      <c r="T34" s="44">
        <v>0.8</v>
      </c>
      <c r="U34" s="44">
        <v>0.79995863563108549</v>
      </c>
      <c r="V34" s="44">
        <v>0.95902469999999984</v>
      </c>
      <c r="W34" s="44">
        <v>0.8</v>
      </c>
      <c r="X34" s="44">
        <v>0.72500000000000031</v>
      </c>
      <c r="Y34" s="44">
        <v>0.69999999917584255</v>
      </c>
      <c r="Z34" s="44">
        <v>0.61999999999999977</v>
      </c>
      <c r="AA34" s="44">
        <v>0.6000000000000002</v>
      </c>
      <c r="AB34" s="44">
        <v>0.6000000000000002</v>
      </c>
      <c r="AC34" s="44">
        <v>0.49999999999999983</v>
      </c>
      <c r="AD34" s="44">
        <v>0.50000003272902893</v>
      </c>
      <c r="AE34" s="44">
        <v>0.49999999999999989</v>
      </c>
      <c r="AF34" s="44">
        <v>0.5</v>
      </c>
      <c r="AG34" s="44">
        <v>0.50000000557802882</v>
      </c>
      <c r="AH34" s="44">
        <v>0.55000000000000004</v>
      </c>
      <c r="AI34" s="44">
        <v>0.55000000000000004</v>
      </c>
      <c r="AJ34" s="44">
        <v>0.55000000000000004</v>
      </c>
      <c r="AK34" s="44">
        <v>0.55000000000000004</v>
      </c>
      <c r="AL34" s="44">
        <v>0.60000000028807843</v>
      </c>
      <c r="AM34" s="44">
        <v>0.59595274921694374</v>
      </c>
      <c r="AN34" s="44">
        <v>0.59999999999999987</v>
      </c>
      <c r="AO34" s="44">
        <v>0.55000000000000004</v>
      </c>
      <c r="AP34" s="44">
        <v>0.54581775295177259</v>
      </c>
      <c r="AQ34" s="44">
        <v>0.63</v>
      </c>
      <c r="AR34" s="44">
        <v>0.59999999924933678</v>
      </c>
      <c r="AS34" s="44">
        <v>0.569996630348924</v>
      </c>
      <c r="AT34" s="44">
        <v>0.54762295139415706</v>
      </c>
      <c r="AU34" s="44">
        <v>0.55000000000000016</v>
      </c>
      <c r="AV34" s="44">
        <v>0.54999980578027263</v>
      </c>
      <c r="AW34" s="44">
        <v>0.64999999975111489</v>
      </c>
      <c r="AX34" s="44">
        <v>0.64999999999999947</v>
      </c>
      <c r="AY34" s="44">
        <v>0.51934957645441238</v>
      </c>
      <c r="AZ34" s="44">
        <v>0.70355701215488797</v>
      </c>
      <c r="BA34" s="44">
        <v>0.80000420102926495</v>
      </c>
      <c r="BB34" s="44">
        <v>0.79937118930259776</v>
      </c>
      <c r="BC34" s="44">
        <v>0.75</v>
      </c>
      <c r="BD34" s="44">
        <v>0.7100000000000003</v>
      </c>
      <c r="BE34" s="44">
        <v>0.7045932177726919</v>
      </c>
      <c r="BF34" s="44">
        <v>0.3969027769855562</v>
      </c>
      <c r="BG34" s="44">
        <v>0.35772950862715758</v>
      </c>
      <c r="BH34" s="44">
        <v>0</v>
      </c>
      <c r="BI34" s="45"/>
      <c r="BJ34" s="59">
        <v>0.95</v>
      </c>
      <c r="BK34" s="60"/>
      <c r="BL34" s="59">
        <v>12.02</v>
      </c>
      <c r="BM34" s="60"/>
      <c r="BN34" s="59">
        <v>41.57</v>
      </c>
    </row>
    <row r="35" spans="2:70" ht="18.75" customHeight="1" x14ac:dyDescent="0.25">
      <c r="B35" s="46" t="s">
        <v>96</v>
      </c>
      <c r="C35" s="75">
        <v>0.14631557337882928</v>
      </c>
      <c r="D35" s="75">
        <v>0.13669099808835727</v>
      </c>
      <c r="E35" s="75">
        <v>9.8504492574770897E-2</v>
      </c>
      <c r="F35" s="47">
        <v>9.6094697230892923E-2</v>
      </c>
      <c r="G35" s="47">
        <v>9.6758372053948216E-2</v>
      </c>
      <c r="H35" s="47">
        <v>0.12900387738748997</v>
      </c>
      <c r="I35" s="47">
        <v>0.14284815719889954</v>
      </c>
      <c r="J35" s="47">
        <v>0.16157365698841764</v>
      </c>
      <c r="K35" s="47">
        <v>0.15147050027606412</v>
      </c>
      <c r="L35" s="47">
        <v>0.15235044075442894</v>
      </c>
      <c r="M35" s="47">
        <v>0.14992750360388651</v>
      </c>
      <c r="N35" s="47">
        <v>0.14028619649985408</v>
      </c>
      <c r="O35" s="47">
        <v>0.13764218831413366</v>
      </c>
      <c r="P35" s="47">
        <v>0.1377651314833912</v>
      </c>
      <c r="Q35" s="47">
        <v>0.12099205895998932</v>
      </c>
      <c r="R35" s="47">
        <v>0.11649421597550513</v>
      </c>
      <c r="S35" s="47">
        <v>0.11732864476321336</v>
      </c>
      <c r="T35" s="47">
        <v>0.10274227233021094</v>
      </c>
      <c r="U35" s="47">
        <v>0.10034375521866123</v>
      </c>
      <c r="V35" s="47">
        <v>0.12336557209521959</v>
      </c>
      <c r="W35" s="47">
        <v>9.9858943762255681E-2</v>
      </c>
      <c r="X35" s="47">
        <v>8.8971740133951371E-2</v>
      </c>
      <c r="Y35" s="47">
        <v>8.7574483825384242E-2</v>
      </c>
      <c r="Z35" s="47">
        <v>8.0495382399178084E-2</v>
      </c>
      <c r="AA35" s="47">
        <v>7.9342787111429613E-2</v>
      </c>
      <c r="AB35" s="47">
        <v>7.841004140447172E-2</v>
      </c>
      <c r="AC35" s="47">
        <v>6.4494609315671303E-2</v>
      </c>
      <c r="AD35" s="47">
        <v>6.3204185169578153E-2</v>
      </c>
      <c r="AE35" s="47">
        <v>6.2182640756515362E-2</v>
      </c>
      <c r="AF35" s="47">
        <v>6.1677811864497611E-2</v>
      </c>
      <c r="AG35" s="47">
        <v>6.2131143920006959E-2</v>
      </c>
      <c r="AH35" s="47">
        <v>6.7970523731123444E-2</v>
      </c>
      <c r="AI35" s="47">
        <v>7.1736918535920458E-2</v>
      </c>
      <c r="AJ35" s="47">
        <v>7.5631854708286372E-2</v>
      </c>
      <c r="AK35" s="47">
        <v>7.2885153302489236E-2</v>
      </c>
      <c r="AL35" s="47">
        <v>7.0768112847817033E-2</v>
      </c>
      <c r="AM35" s="47">
        <v>6.9592144371009024E-2</v>
      </c>
      <c r="AN35" s="47">
        <v>6.7523888648175046E-2</v>
      </c>
      <c r="AO35" s="47">
        <v>6.5534919952905835E-2</v>
      </c>
      <c r="AP35" s="47">
        <v>6.4797006751981856E-2</v>
      </c>
      <c r="AQ35" s="47">
        <v>7.554669452342222E-2</v>
      </c>
      <c r="AR35" s="47">
        <v>6.9471235988053159E-2</v>
      </c>
      <c r="AS35" s="47">
        <v>6.5353563953299831E-2</v>
      </c>
      <c r="AT35" s="47">
        <v>6.2584834029021152E-2</v>
      </c>
      <c r="AU35" s="47">
        <v>6.405968905135917E-2</v>
      </c>
      <c r="AV35" s="47">
        <v>6.2876100698387116E-2</v>
      </c>
      <c r="AW35" s="47">
        <v>7.7709906893650871E-2</v>
      </c>
      <c r="AX35" s="47">
        <v>7.516494593681089E-2</v>
      </c>
      <c r="AY35" s="47">
        <v>6.0404806748664663E-2</v>
      </c>
      <c r="AZ35" s="47">
        <v>8.0957938856721867E-2</v>
      </c>
      <c r="BA35" s="47">
        <v>9.9302120451707943E-2</v>
      </c>
      <c r="BB35" s="47">
        <v>9.8709965223265916E-2</v>
      </c>
      <c r="BC35" s="47">
        <v>9.7461395585498378E-2</v>
      </c>
      <c r="BD35" s="47">
        <v>9.0777113463464509E-2</v>
      </c>
      <c r="BE35" s="47">
        <v>9.1717904088743252E-2</v>
      </c>
      <c r="BF35" s="47">
        <v>5.0126480691096154E-2</v>
      </c>
      <c r="BG35" s="47">
        <v>4.4375095933470332E-2</v>
      </c>
      <c r="BH35" s="47">
        <v>0</v>
      </c>
      <c r="BI35" s="48"/>
      <c r="BJ35" s="61">
        <v>0.14631557337882928</v>
      </c>
      <c r="BK35" s="62"/>
      <c r="BL35" s="61">
        <v>0.14480202613363069</v>
      </c>
      <c r="BM35" s="62"/>
      <c r="BN35" s="61">
        <v>0.18759999999999999</v>
      </c>
    </row>
    <row r="36" spans="2:70" ht="18.75" customHeight="1" x14ac:dyDescent="0.25">
      <c r="BJ36" s="20"/>
      <c r="BK36" s="22"/>
      <c r="BL36" s="20"/>
      <c r="BM36" s="22"/>
    </row>
    <row r="37" spans="2:70" ht="18.75" customHeight="1" x14ac:dyDescent="0.25">
      <c r="B37" s="31" t="s">
        <v>97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BJ37" s="20"/>
      <c r="BK37" s="22"/>
      <c r="BL37" s="20"/>
      <c r="BM37" s="22"/>
    </row>
    <row r="38" spans="2:70" ht="18.75" customHeight="1" x14ac:dyDescent="0.25">
      <c r="B38" s="23"/>
      <c r="C38" s="24">
        <v>44927</v>
      </c>
      <c r="D38" s="24">
        <v>44896</v>
      </c>
      <c r="E38" s="24">
        <v>44866</v>
      </c>
      <c r="F38" s="24">
        <v>44835</v>
      </c>
      <c r="G38" s="24">
        <v>44805</v>
      </c>
      <c r="H38" s="24">
        <v>44774</v>
      </c>
      <c r="I38" s="24">
        <v>44743</v>
      </c>
      <c r="J38" s="24">
        <v>44713</v>
      </c>
      <c r="K38" s="24">
        <v>44652</v>
      </c>
      <c r="L38" s="24">
        <v>44652</v>
      </c>
      <c r="M38" s="24">
        <v>44621</v>
      </c>
      <c r="N38" s="24">
        <v>44593</v>
      </c>
      <c r="O38" s="24">
        <v>44562</v>
      </c>
      <c r="P38" s="24">
        <v>44531</v>
      </c>
      <c r="Q38" s="24">
        <v>44501</v>
      </c>
      <c r="R38" s="24">
        <v>44470</v>
      </c>
      <c r="S38" s="24">
        <v>44440</v>
      </c>
      <c r="T38" s="24">
        <v>44409</v>
      </c>
      <c r="U38" s="24">
        <v>44378</v>
      </c>
      <c r="V38" s="24">
        <v>44348</v>
      </c>
      <c r="W38" s="24">
        <v>44317</v>
      </c>
      <c r="X38" s="24">
        <v>44287</v>
      </c>
      <c r="Y38" s="24">
        <v>44256</v>
      </c>
      <c r="Z38" s="24">
        <v>44228</v>
      </c>
      <c r="AA38" s="24">
        <v>44197</v>
      </c>
      <c r="AB38" s="24">
        <v>44166</v>
      </c>
      <c r="AC38" s="24">
        <v>44136</v>
      </c>
      <c r="AD38" s="24">
        <v>44105</v>
      </c>
      <c r="AE38" s="24">
        <v>44075</v>
      </c>
      <c r="AF38" s="24">
        <v>44044</v>
      </c>
      <c r="AG38" s="24">
        <v>44013</v>
      </c>
      <c r="AH38" s="24">
        <v>43983</v>
      </c>
      <c r="AI38" s="24">
        <v>43952</v>
      </c>
      <c r="AJ38" s="24">
        <v>43922</v>
      </c>
      <c r="AK38" s="24">
        <v>43891</v>
      </c>
      <c r="AL38" s="24">
        <v>43862</v>
      </c>
      <c r="AM38" s="24">
        <v>43831</v>
      </c>
      <c r="AN38" s="24">
        <v>43800</v>
      </c>
      <c r="AO38" s="24">
        <v>43770</v>
      </c>
      <c r="AP38" s="24">
        <v>43739</v>
      </c>
      <c r="AQ38" s="24">
        <v>43709</v>
      </c>
      <c r="AR38" s="24">
        <v>43678</v>
      </c>
      <c r="AS38" s="24">
        <v>43647</v>
      </c>
      <c r="AT38" s="24">
        <v>43617</v>
      </c>
      <c r="AU38" s="24">
        <v>43586</v>
      </c>
      <c r="AV38" s="24">
        <v>43556</v>
      </c>
      <c r="AW38" s="24">
        <v>43525</v>
      </c>
      <c r="AX38" s="24">
        <v>43497</v>
      </c>
      <c r="AY38" s="24">
        <v>43466</v>
      </c>
      <c r="AZ38" s="24">
        <v>43435</v>
      </c>
      <c r="BA38" s="24">
        <v>43405</v>
      </c>
      <c r="BB38" s="24">
        <v>43374</v>
      </c>
      <c r="BC38" s="24">
        <v>43344</v>
      </c>
      <c r="BD38" s="24">
        <v>43313</v>
      </c>
      <c r="BE38" s="24">
        <v>43282</v>
      </c>
      <c r="BF38" s="24">
        <v>43252</v>
      </c>
      <c r="BG38" s="24">
        <v>43221</v>
      </c>
      <c r="BH38" s="24">
        <v>43191</v>
      </c>
      <c r="BI38" s="25"/>
      <c r="BJ38"/>
      <c r="BK38"/>
      <c r="BL38"/>
      <c r="BM38"/>
      <c r="BN38"/>
      <c r="BR38" s="21"/>
    </row>
    <row r="39" spans="2:70" ht="18.75" customHeight="1" x14ac:dyDescent="0.25">
      <c r="B39" s="49" t="s">
        <v>98</v>
      </c>
      <c r="C39" s="50">
        <v>0.92</v>
      </c>
      <c r="D39" s="50">
        <v>0.67975499303491438</v>
      </c>
      <c r="E39" s="50">
        <v>0.64290328161852184</v>
      </c>
      <c r="F39" s="50">
        <v>0.49454540722217849</v>
      </c>
      <c r="G39" s="50">
        <v>0.73970081141368571</v>
      </c>
      <c r="H39" s="50">
        <v>1.0914413177891611</v>
      </c>
      <c r="I39" s="50">
        <v>1.1011975188012026</v>
      </c>
      <c r="J39" s="50">
        <v>1.430676484334791</v>
      </c>
      <c r="K39" s="50">
        <v>1.127644867767789</v>
      </c>
      <c r="L39" s="50">
        <v>1.2806713507379193</v>
      </c>
      <c r="M39" s="50">
        <v>0.95713632218819855</v>
      </c>
      <c r="N39" s="50">
        <v>1.2451200545171912</v>
      </c>
      <c r="O39" s="50">
        <v>0.7393750895071558</v>
      </c>
      <c r="P39" s="50">
        <v>1.8829747187424617</v>
      </c>
      <c r="Q39" s="50">
        <v>0.99388309255667173</v>
      </c>
      <c r="R39" s="50">
        <v>0.86680577863987718</v>
      </c>
      <c r="S39" s="50">
        <v>0.62196895090858206</v>
      </c>
      <c r="T39" s="50">
        <v>0.57753910708048584</v>
      </c>
      <c r="U39" s="50">
        <v>1.1519146123019415</v>
      </c>
      <c r="V39" s="50">
        <v>0.70986127072746119</v>
      </c>
      <c r="W39" s="50">
        <v>0.61633273587582027</v>
      </c>
      <c r="X39" s="50">
        <v>0.5788189769193578</v>
      </c>
      <c r="Y39" s="50">
        <v>1.0475988942553898</v>
      </c>
      <c r="Z39" s="50">
        <v>0.74018396380352813</v>
      </c>
      <c r="AA39" s="50">
        <v>0.59549039790876579</v>
      </c>
      <c r="AB39" s="50">
        <v>0.52297348566830881</v>
      </c>
      <c r="AC39" s="50">
        <v>0.49830183993436389</v>
      </c>
      <c r="AD39" s="50">
        <v>0.45817042507526851</v>
      </c>
      <c r="AE39" s="50">
        <v>0.51434227331514881</v>
      </c>
      <c r="AF39" s="50">
        <v>0.48926687674296371</v>
      </c>
      <c r="AG39" s="50">
        <v>0.44701700444315784</v>
      </c>
      <c r="AH39" s="50">
        <v>0.48061882177411419</v>
      </c>
      <c r="AI39" s="50">
        <v>0.52733228362553963</v>
      </c>
      <c r="AJ39" s="50">
        <v>0.49911220995527666</v>
      </c>
      <c r="AK39" s="50">
        <v>0.55155956956571073</v>
      </c>
      <c r="AL39" s="50">
        <v>0.73791352027291846</v>
      </c>
      <c r="AM39" s="50">
        <v>0.59053035950207633</v>
      </c>
      <c r="AN39" s="50">
        <v>0.40762159244785456</v>
      </c>
      <c r="AO39" s="50">
        <v>0.39848648306827916</v>
      </c>
      <c r="AP39" s="50">
        <v>0.4848031931111863</v>
      </c>
      <c r="AQ39" s="50">
        <v>0.54161442240927182</v>
      </c>
      <c r="AR39" s="50">
        <v>0.41321636990639582</v>
      </c>
      <c r="AS39" s="50">
        <v>0.45968035803884716</v>
      </c>
      <c r="AT39" s="50">
        <v>0.4617865597409887</v>
      </c>
      <c r="AU39" s="50">
        <v>0.36642089718393234</v>
      </c>
      <c r="AV39" s="50">
        <v>0.63624341301961107</v>
      </c>
      <c r="AW39" s="50">
        <v>0.62658583680882551</v>
      </c>
      <c r="AX39" s="50">
        <v>0.57614593665025537</v>
      </c>
      <c r="AY39" s="50">
        <v>0.37375611425690036</v>
      </c>
      <c r="AZ39" s="50">
        <v>0.73417412799202553</v>
      </c>
      <c r="BA39" s="50">
        <v>0.89517835948184354</v>
      </c>
      <c r="BB39" s="50">
        <v>0.69420887617801808</v>
      </c>
      <c r="BC39" s="50">
        <v>0.65841094327901606</v>
      </c>
      <c r="BD39" s="50">
        <v>1.1405462900218328</v>
      </c>
      <c r="BE39" s="50">
        <v>0.54424507614916584</v>
      </c>
      <c r="BF39" s="50">
        <v>0.38591522393013594</v>
      </c>
      <c r="BG39" s="50">
        <v>0.16636696715277713</v>
      </c>
      <c r="BH39" s="50">
        <v>0</v>
      </c>
      <c r="BJ39" s="50"/>
      <c r="BL39" s="50"/>
      <c r="BN39" s="50"/>
    </row>
    <row r="40" spans="2:70" ht="18.75" customHeight="1" x14ac:dyDescent="0.25">
      <c r="B40" s="49" t="s">
        <v>99</v>
      </c>
      <c r="C40" s="50">
        <v>0.14000000000000001</v>
      </c>
      <c r="D40" s="50">
        <v>0.12168199752539419</v>
      </c>
      <c r="E40" s="50">
        <v>8.3657652839055074E-2</v>
      </c>
      <c r="F40" s="50">
        <v>7.9603167162093813E-2</v>
      </c>
      <c r="G40" s="50">
        <v>9.1402535086928208E-2</v>
      </c>
      <c r="H40" s="50">
        <v>0.12709308449763923</v>
      </c>
      <c r="I40" s="50">
        <v>0.17776787741980227</v>
      </c>
      <c r="J40" s="50">
        <v>0.21002472617083084</v>
      </c>
      <c r="K40" s="50">
        <v>8.5023413720892088E-2</v>
      </c>
      <c r="L40" s="50">
        <v>7.5872011040020074E-2</v>
      </c>
      <c r="M40" s="50">
        <v>6.8935657141754217E-2</v>
      </c>
      <c r="N40" s="50">
        <v>9.0476206054640435E-2</v>
      </c>
      <c r="O40" s="50">
        <v>0.13534690560975846</v>
      </c>
      <c r="P40" s="50">
        <v>0.13335730581048608</v>
      </c>
      <c r="Q40" s="50">
        <v>6.4685499358250562E-2</v>
      </c>
      <c r="R40" s="50">
        <v>6.8441408760603353E-2</v>
      </c>
      <c r="S40" s="50">
        <v>8.4053520936471629E-2</v>
      </c>
      <c r="T40" s="50">
        <v>8.0269644769983495E-2</v>
      </c>
      <c r="U40" s="50">
        <v>8.9730251971087499E-2</v>
      </c>
      <c r="V40" s="50">
        <v>0.10943829655091604</v>
      </c>
      <c r="W40" s="50">
        <v>6.7614959732166552E-2</v>
      </c>
      <c r="X40" s="50">
        <v>6.7933588611032422E-2</v>
      </c>
      <c r="Y40" s="50">
        <v>6.6862917342580652E-2</v>
      </c>
      <c r="Z40" s="50">
        <v>0.10807498979836226</v>
      </c>
      <c r="AA40" s="50">
        <v>0.11505047012631665</v>
      </c>
      <c r="AB40" s="50">
        <v>0.11583932481846124</v>
      </c>
      <c r="AC40" s="50">
        <v>7.5841481006886077E-2</v>
      </c>
      <c r="AD40" s="50">
        <v>7.2232286034955864E-2</v>
      </c>
      <c r="AE40" s="50">
        <v>6.3919469440438151E-2</v>
      </c>
      <c r="AF40" s="50">
        <v>5.1495031297546422E-2</v>
      </c>
      <c r="AG40" s="50">
        <v>4.166470077235232E-2</v>
      </c>
      <c r="AH40" s="50">
        <v>3.8713783696698527E-2</v>
      </c>
      <c r="AI40" s="50">
        <v>4.0258704393784574E-2</v>
      </c>
      <c r="AJ40" s="50">
        <v>4.4384097962753478E-2</v>
      </c>
      <c r="AK40" s="50">
        <v>4.2999724741186837E-2</v>
      </c>
      <c r="AL40" s="50">
        <v>4.6556510807185328E-2</v>
      </c>
      <c r="AM40" s="50">
        <v>5.8319315203317693E-2</v>
      </c>
      <c r="AN40" s="50">
        <v>0.11734630482688155</v>
      </c>
      <c r="AO40" s="50">
        <v>0.12127762877772999</v>
      </c>
      <c r="AP40" s="50">
        <v>0.17052582727438931</v>
      </c>
      <c r="AQ40" s="50">
        <v>0.14056983479016469</v>
      </c>
      <c r="AR40" s="50">
        <v>0.13978943598017668</v>
      </c>
      <c r="AS40" s="50">
        <v>0.21832266865428157</v>
      </c>
      <c r="AT40" s="50">
        <v>0.21073252874224971</v>
      </c>
      <c r="AU40" s="50">
        <v>0.25098327062374204</v>
      </c>
      <c r="AV40" s="50">
        <v>0.10644739079092952</v>
      </c>
      <c r="AW40" s="50">
        <v>0.13407918594816615</v>
      </c>
      <c r="AX40" s="50">
        <v>0.1997983852645126</v>
      </c>
      <c r="AY40" s="50">
        <v>0.15615055766713523</v>
      </c>
      <c r="AZ40" s="50">
        <v>2.5306863244108403E-2</v>
      </c>
      <c r="BA40" s="50">
        <v>5.0419176899310018E-2</v>
      </c>
      <c r="BB40" s="50">
        <v>5.690440357949568E-2</v>
      </c>
      <c r="BC40" s="50">
        <v>5.664270235004603E-2</v>
      </c>
      <c r="BD40" s="50">
        <v>6.3875860533246648E-2</v>
      </c>
      <c r="BE40" s="50">
        <v>0.16896188409869553</v>
      </c>
      <c r="BF40" s="50">
        <v>0.12015964803632934</v>
      </c>
      <c r="BG40" s="50">
        <v>0.27428501275303424</v>
      </c>
      <c r="BH40" s="50">
        <v>0</v>
      </c>
      <c r="BJ40" s="50"/>
      <c r="BL40" s="50"/>
      <c r="BN40" s="50"/>
    </row>
    <row r="41" spans="2:70" ht="18.75" customHeight="1" x14ac:dyDescent="0.25">
      <c r="B41" s="49" t="s">
        <v>100</v>
      </c>
      <c r="C41" s="65">
        <v>0</v>
      </c>
      <c r="D41" s="65">
        <v>8.6335216105595178E-2</v>
      </c>
      <c r="E41" s="65">
        <v>8.9009682542365992E-3</v>
      </c>
      <c r="F41" s="65">
        <v>1.8816722311068726E-3</v>
      </c>
      <c r="G41" s="50">
        <v>0</v>
      </c>
      <c r="H41" s="50">
        <v>-1.3292066374839565E-4</v>
      </c>
      <c r="I41" s="50">
        <v>3.7472742066320029E-2</v>
      </c>
      <c r="J41" s="50">
        <v>4.3580673126406982E-2</v>
      </c>
      <c r="K41" s="50">
        <v>3.6673674763324754E-2</v>
      </c>
      <c r="L41" s="50">
        <v>8.1111426999797356E-2</v>
      </c>
      <c r="M41" s="50">
        <v>1.3757569966610468E-2</v>
      </c>
      <c r="N41" s="50">
        <v>7.8651615864866908E-2</v>
      </c>
      <c r="O41" s="50">
        <v>0.14484120640406822</v>
      </c>
      <c r="P41" s="50">
        <v>4.7083362967991406E-2</v>
      </c>
      <c r="Q41" s="50">
        <v>0.12819612344749717</v>
      </c>
      <c r="R41" s="50">
        <v>7.6749756328228285E-3</v>
      </c>
      <c r="S41" s="50">
        <v>5.3847453750615226E-2</v>
      </c>
      <c r="T41" s="50">
        <v>2.1949659824556333E-2</v>
      </c>
      <c r="U41" s="50">
        <v>4.5689761925441268E-2</v>
      </c>
      <c r="V41" s="50">
        <v>2.1717680967637688E-2</v>
      </c>
      <c r="W41" s="50">
        <v>3.2441216373050231E-2</v>
      </c>
      <c r="X41" s="50">
        <v>1.7497935125566501E-2</v>
      </c>
      <c r="Y41" s="50">
        <v>0.10451718981117422</v>
      </c>
      <c r="Z41" s="50">
        <v>0.30301153410253545</v>
      </c>
      <c r="AA41" s="50">
        <v>0.75378266406178496</v>
      </c>
      <c r="AB41" s="50">
        <v>0.42870477748253288</v>
      </c>
      <c r="AC41" s="50">
        <v>9.355998753154916E-3</v>
      </c>
      <c r="AD41" s="50">
        <v>0.3999332236169007</v>
      </c>
      <c r="AE41" s="50">
        <v>0.49933494964463382</v>
      </c>
      <c r="AF41" s="50">
        <v>-1.0390119951481853E-4</v>
      </c>
      <c r="AG41" s="50">
        <v>-3.1567893500910396E-3</v>
      </c>
      <c r="AH41" s="50">
        <v>0.13056657511058248</v>
      </c>
      <c r="AI41" s="50">
        <v>1.1098534732952201E-2</v>
      </c>
      <c r="AJ41" s="50">
        <v>3.542422482091215E-3</v>
      </c>
      <c r="AK41" s="50">
        <v>-4.1188478466046275E-4</v>
      </c>
      <c r="AL41" s="50">
        <v>0.4758119778717031</v>
      </c>
      <c r="AM41" s="50">
        <v>5.0489690748929519E-2</v>
      </c>
      <c r="AN41" s="50">
        <v>0.46594616662972871</v>
      </c>
      <c r="AO41" s="50">
        <v>0.15840306924984174</v>
      </c>
      <c r="AP41" s="50">
        <v>0.12307703466235362</v>
      </c>
      <c r="AQ41" s="50">
        <v>4.4549790733640425E-2</v>
      </c>
      <c r="AR41" s="50">
        <v>0.14569388314374518</v>
      </c>
      <c r="AS41" s="50">
        <v>7.1196813548558341E-3</v>
      </c>
      <c r="AT41" s="50">
        <v>-7.4840221586673908E-3</v>
      </c>
      <c r="AU41" s="50">
        <v>2.2046928299728458E-2</v>
      </c>
      <c r="AV41" s="50">
        <v>2.172041300641878E-2</v>
      </c>
      <c r="AW41" s="50">
        <v>0.13872433551201452</v>
      </c>
      <c r="AX41" s="50">
        <v>-8.7837520906103631E-4</v>
      </c>
      <c r="AY41" s="50">
        <v>5.8128121257605719E-2</v>
      </c>
      <c r="AZ41" s="50">
        <v>0.12130441473072387</v>
      </c>
      <c r="BA41" s="50">
        <v>0</v>
      </c>
      <c r="BB41" s="50">
        <v>0.14935267543527836</v>
      </c>
      <c r="BC41" s="50">
        <v>-3.3780680233877823E-5</v>
      </c>
      <c r="BD41" s="50">
        <v>9.0551879451403368E-3</v>
      </c>
      <c r="BE41" s="50">
        <v>7.7891081792341693E-2</v>
      </c>
      <c r="BF41" s="50">
        <v>0</v>
      </c>
      <c r="BG41" s="50">
        <v>0</v>
      </c>
      <c r="BH41" s="50">
        <v>0</v>
      </c>
      <c r="BJ41" s="50"/>
      <c r="BL41" s="50"/>
      <c r="BN41" s="50"/>
    </row>
    <row r="42" spans="2:70" ht="18.75" customHeight="1" x14ac:dyDescent="0.25">
      <c r="B42" s="49" t="s">
        <v>86</v>
      </c>
      <c r="C42" s="50">
        <v>-0.08</v>
      </c>
      <c r="D42" s="50">
        <v>-7.3633763249216375E-2</v>
      </c>
      <c r="E42" s="50">
        <v>-8.2009992180912317E-2</v>
      </c>
      <c r="F42" s="50">
        <v>-8.0817593215163019E-2</v>
      </c>
      <c r="G42" s="50">
        <v>-8.259388113974736E-2</v>
      </c>
      <c r="H42" s="50">
        <v>-8.3930246415854601E-2</v>
      </c>
      <c r="I42" s="50">
        <v>-8.5239768737162269E-2</v>
      </c>
      <c r="J42" s="50">
        <v>-0.10286989760960411</v>
      </c>
      <c r="K42" s="50">
        <v>-8.9601851905464935E-2</v>
      </c>
      <c r="L42" s="50">
        <v>-8.7903865937098938E-2</v>
      </c>
      <c r="M42" s="50">
        <v>-8.7435534582090843E-2</v>
      </c>
      <c r="N42" s="50">
        <v>-8.7676961678391854E-2</v>
      </c>
      <c r="O42" s="50">
        <v>-8.7283025004101414E-2</v>
      </c>
      <c r="P42" s="50">
        <v>-8.4243592638699932E-2</v>
      </c>
      <c r="Q42" s="50">
        <v>-8.7774408191231668E-2</v>
      </c>
      <c r="R42" s="50">
        <v>-8.5551381450064176E-2</v>
      </c>
      <c r="S42" s="50">
        <v>-8.4675188905937879E-2</v>
      </c>
      <c r="T42" s="50">
        <v>-8.8500747903457716E-2</v>
      </c>
      <c r="U42" s="50">
        <v>-8.7041696341545793E-2</v>
      </c>
      <c r="V42" s="50">
        <v>-0.1006049686069701</v>
      </c>
      <c r="W42" s="50">
        <v>-8.9151765685288903E-2</v>
      </c>
      <c r="X42" s="50">
        <v>-9.4974922363470521E-2</v>
      </c>
      <c r="Y42" s="50">
        <v>-0.10004642023628003</v>
      </c>
      <c r="Z42" s="50">
        <v>-9.043523979053944E-2</v>
      </c>
      <c r="AA42" s="50">
        <v>-8.5895068900497071E-2</v>
      </c>
      <c r="AB42" s="50">
        <v>-8.4427204683026572E-2</v>
      </c>
      <c r="AC42" s="50">
        <v>-8.8323798494438485E-2</v>
      </c>
      <c r="AD42" s="50">
        <v>-9.0370164007782181E-2</v>
      </c>
      <c r="AE42" s="50">
        <v>-0.10640921781412813</v>
      </c>
      <c r="AF42" s="50">
        <v>-9.4717979269021493E-2</v>
      </c>
      <c r="AG42" s="50">
        <v>-9.1100877470663061E-2</v>
      </c>
      <c r="AH42" s="50">
        <v>-9.0756873872263499E-2</v>
      </c>
      <c r="AI42" s="50">
        <v>-8.411578327696842E-2</v>
      </c>
      <c r="AJ42" s="50">
        <v>-8.4696143690040998E-2</v>
      </c>
      <c r="AK42" s="50">
        <v>-9.4203691809804382E-2</v>
      </c>
      <c r="AL42" s="50">
        <v>-9.6107295914171123E-2</v>
      </c>
      <c r="AM42" s="50">
        <v>-9.9589793789233605E-2</v>
      </c>
      <c r="AN42" s="50">
        <v>-9.5518265100308142E-2</v>
      </c>
      <c r="AO42" s="50">
        <v>-0.10174894814003507</v>
      </c>
      <c r="AP42" s="50">
        <v>-0.14844302078259353</v>
      </c>
      <c r="AQ42" s="50">
        <v>-9.8136515136599517E-2</v>
      </c>
      <c r="AR42" s="50">
        <v>-9.5651220887343916E-2</v>
      </c>
      <c r="AS42" s="50">
        <v>-0.11473877396036959</v>
      </c>
      <c r="AT42" s="50">
        <v>-8.0094906402185001E-2</v>
      </c>
      <c r="AU42" s="50">
        <v>-0.11235415385520157</v>
      </c>
      <c r="AV42" s="50">
        <v>-0.13153059437099923</v>
      </c>
      <c r="AW42" s="50">
        <v>-8.0388062009595182E-2</v>
      </c>
      <c r="AX42" s="50">
        <v>-0.10233533098706132</v>
      </c>
      <c r="AY42" s="50">
        <v>-6.868521672722902E-2</v>
      </c>
      <c r="AZ42" s="50">
        <v>-3.8820699301178277E-2</v>
      </c>
      <c r="BA42" s="50">
        <v>-9.0085571401906095E-2</v>
      </c>
      <c r="BB42" s="50">
        <v>-0.10109476589019421</v>
      </c>
      <c r="BC42" s="50">
        <v>-8.268316863315843E-2</v>
      </c>
      <c r="BD42" s="50">
        <v>-8.9125135899897456E-2</v>
      </c>
      <c r="BE42" s="50">
        <v>-8.6504824267511105E-2</v>
      </c>
      <c r="BF42" s="50">
        <v>-8.6287045211652494E-2</v>
      </c>
      <c r="BG42" s="50">
        <v>-8.2922471278653792E-2</v>
      </c>
      <c r="BH42" s="50">
        <v>0</v>
      </c>
      <c r="BJ42" s="50"/>
      <c r="BL42" s="50"/>
      <c r="BN42" s="50"/>
    </row>
    <row r="43" spans="2:70" ht="18.75" customHeight="1" x14ac:dyDescent="0.25">
      <c r="B43" s="49" t="s">
        <v>90</v>
      </c>
      <c r="C43" s="50" t="s">
        <v>213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-0.92977217123611555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-0.87221239987699106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-1.0701317997994104</v>
      </c>
      <c r="AC43" s="50">
        <v>-4.0333697323773491E-3</v>
      </c>
      <c r="AD43" s="50">
        <v>0</v>
      </c>
      <c r="AE43" s="50">
        <v>0</v>
      </c>
      <c r="AF43" s="50">
        <v>0</v>
      </c>
      <c r="AG43" s="50">
        <v>0</v>
      </c>
      <c r="AH43" s="50">
        <v>-0.24032939448678636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-0.27648104005483859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-0.17409619135651733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-0.49060435737676572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>
        <v>-2.2885049769256541E-2</v>
      </c>
      <c r="BG43" s="50">
        <v>0</v>
      </c>
      <c r="BH43" s="50">
        <v>0</v>
      </c>
      <c r="BJ43" s="50"/>
      <c r="BL43" s="50"/>
      <c r="BN43" s="50"/>
    </row>
    <row r="44" spans="2:70" ht="18.75" customHeight="1" x14ac:dyDescent="0.25">
      <c r="B44" s="49" t="s">
        <v>92</v>
      </c>
      <c r="C44" s="50">
        <v>-0.03</v>
      </c>
      <c r="D44" s="50">
        <v>8.9877712420085271E-2</v>
      </c>
      <c r="E44" s="50">
        <v>4.6548089469098719E-2</v>
      </c>
      <c r="F44" s="50">
        <v>0.20478734659978381</v>
      </c>
      <c r="G44" s="50">
        <v>-4.8509465947680235E-2</v>
      </c>
      <c r="H44" s="50">
        <v>-0.13447119987549347</v>
      </c>
      <c r="I44" s="50">
        <v>-0.13119836955016254</v>
      </c>
      <c r="J44" s="50">
        <v>-0.18094658391384055</v>
      </c>
      <c r="K44" s="50">
        <v>4.0259895653458812E-2</v>
      </c>
      <c r="L44" s="50">
        <v>-0.14975092284063771</v>
      </c>
      <c r="M44" s="50">
        <v>0.24760598405655404</v>
      </c>
      <c r="N44" s="50">
        <v>-0.22657091475830657</v>
      </c>
      <c r="O44" s="50">
        <v>0.16771982348311915</v>
      </c>
      <c r="P44" s="50">
        <v>2.0600376353880012E-2</v>
      </c>
      <c r="Q44" s="50">
        <v>-0.19899030717118982</v>
      </c>
      <c r="R44" s="50">
        <v>4.26292184167604E-2</v>
      </c>
      <c r="S44" s="50">
        <v>0.22480526331026895</v>
      </c>
      <c r="T44" s="50">
        <v>0.20874233622843205</v>
      </c>
      <c r="U44" s="50">
        <v>-0.40033429422583883</v>
      </c>
      <c r="V44" s="50">
        <v>1.1269737671137552</v>
      </c>
      <c r="W44" s="50">
        <v>0.17276285370425171</v>
      </c>
      <c r="X44" s="50">
        <v>0.15572442170751402</v>
      </c>
      <c r="Y44" s="50">
        <v>-0.41893258199702188</v>
      </c>
      <c r="Z44" s="50">
        <v>-0.44083524791388667</v>
      </c>
      <c r="AA44" s="50">
        <v>-0.77842846319637027</v>
      </c>
      <c r="AB44" s="50">
        <v>0.68704141651313422</v>
      </c>
      <c r="AC44" s="50">
        <v>8.8578485324108582E-3</v>
      </c>
      <c r="AD44" s="50">
        <v>-0.33996573799031388</v>
      </c>
      <c r="AE44" s="50">
        <v>-0.44262708837948067</v>
      </c>
      <c r="AF44" s="50">
        <v>5.4059972428026216E-2</v>
      </c>
      <c r="AG44" s="50">
        <v>0.10557596718327268</v>
      </c>
      <c r="AH44" s="50">
        <v>0.23118708777765465</v>
      </c>
      <c r="AI44" s="50">
        <v>5.5426260524691955E-2</v>
      </c>
      <c r="AJ44" s="50">
        <v>8.7657413289919675E-2</v>
      </c>
      <c r="AK44" s="50">
        <v>5.0056282287567345E-2</v>
      </c>
      <c r="AL44" s="50">
        <v>-0.56417471274955744</v>
      </c>
      <c r="AM44" s="50">
        <v>-3.7968224481461886E-3</v>
      </c>
      <c r="AN44" s="50">
        <v>-1.8914758749318156E-2</v>
      </c>
      <c r="AO44" s="50">
        <v>-7.4450165907848425E-3</v>
      </c>
      <c r="AP44" s="50">
        <v>9.8218610938380531E-3</v>
      </c>
      <c r="AQ44" s="50">
        <v>1.4024672035225936E-3</v>
      </c>
      <c r="AR44" s="50">
        <v>-3.0484688936370506E-3</v>
      </c>
      <c r="AS44" s="50">
        <v>-3.873037386909421E-4</v>
      </c>
      <c r="AT44" s="50">
        <v>0.1367789828282884</v>
      </c>
      <c r="AU44" s="50">
        <v>2.2903057747798772E-2</v>
      </c>
      <c r="AV44" s="50">
        <v>-8.2880816665687501E-2</v>
      </c>
      <c r="AW44" s="50">
        <v>-0.16900129650829598</v>
      </c>
      <c r="AX44" s="50">
        <v>-2.2730615718645993E-2</v>
      </c>
      <c r="AY44" s="50">
        <v>0</v>
      </c>
      <c r="AZ44" s="50">
        <v>0.35219666286597429</v>
      </c>
      <c r="BA44" s="50">
        <v>-5.5507763949982407E-2</v>
      </c>
      <c r="BB44" s="50">
        <v>0</v>
      </c>
      <c r="BC44" s="50">
        <v>0.11766330368433023</v>
      </c>
      <c r="BD44" s="50">
        <v>-0.41435220260032207</v>
      </c>
      <c r="BE44" s="50">
        <v>0</v>
      </c>
      <c r="BF44" s="50">
        <v>0</v>
      </c>
      <c r="BG44" s="50">
        <v>0</v>
      </c>
      <c r="BH44" s="50">
        <v>0</v>
      </c>
      <c r="BJ44" s="50"/>
      <c r="BL44" s="50"/>
      <c r="BN44" s="50"/>
    </row>
    <row r="45" spans="2:70" ht="18.75" customHeight="1" x14ac:dyDescent="0.25">
      <c r="B45" s="49" t="s">
        <v>93</v>
      </c>
      <c r="C45" s="50" t="s">
        <v>213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-0.13446540210858401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-3.6148946875809308E-2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-2.8560386206612057E-2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>
        <v>-1.8973216365030885E-2</v>
      </c>
      <c r="AP45" s="50">
        <v>-9.3967142407401186E-2</v>
      </c>
      <c r="AQ45" s="50">
        <v>0</v>
      </c>
      <c r="AR45" s="50">
        <v>0</v>
      </c>
      <c r="AS45" s="50">
        <v>0</v>
      </c>
      <c r="AT45" s="50">
        <v>0</v>
      </c>
      <c r="AU45" s="50">
        <v>0</v>
      </c>
      <c r="AV45" s="50">
        <v>0</v>
      </c>
      <c r="AW45" s="50">
        <v>0</v>
      </c>
      <c r="AX45" s="50">
        <v>0</v>
      </c>
      <c r="AY45" s="50">
        <v>0</v>
      </c>
      <c r="AZ45" s="50">
        <v>0</v>
      </c>
      <c r="BA45" s="50">
        <v>0</v>
      </c>
      <c r="BB45" s="50">
        <v>0</v>
      </c>
      <c r="BC45" s="50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J45" s="50"/>
      <c r="BL45" s="50"/>
      <c r="BN45" s="50"/>
    </row>
    <row r="46" spans="2:70" ht="18.75" customHeight="1" x14ac:dyDescent="0.25">
      <c r="B46" s="51" t="s">
        <v>101</v>
      </c>
      <c r="C46" s="52">
        <v>0.95</v>
      </c>
      <c r="D46" s="52">
        <v>0.90401615583677264</v>
      </c>
      <c r="E46" s="52">
        <v>0.7</v>
      </c>
      <c r="F46" s="52">
        <v>0.7</v>
      </c>
      <c r="G46" s="52">
        <v>0.69999999941318636</v>
      </c>
      <c r="H46" s="52">
        <v>1.0000000353317038</v>
      </c>
      <c r="I46" s="52">
        <v>1.1000000000000001</v>
      </c>
      <c r="J46" s="52">
        <v>1.2660000000000002</v>
      </c>
      <c r="K46" s="52">
        <v>1.1999999999999997</v>
      </c>
      <c r="L46" s="52">
        <v>1.2000000000000002</v>
      </c>
      <c r="M46" s="52">
        <v>1.1999999987710264</v>
      </c>
      <c r="N46" s="52">
        <v>1.1000000000000001</v>
      </c>
      <c r="O46" s="52">
        <v>1.1000000000000003</v>
      </c>
      <c r="P46" s="52">
        <v>1.0700000000000038</v>
      </c>
      <c r="Q46" s="52">
        <v>0.89999999999999791</v>
      </c>
      <c r="R46" s="52">
        <v>0.89999999999999958</v>
      </c>
      <c r="S46" s="52">
        <v>0.9</v>
      </c>
      <c r="T46" s="52">
        <v>0.8</v>
      </c>
      <c r="U46" s="52">
        <v>0.79995863563108571</v>
      </c>
      <c r="V46" s="52">
        <v>0.95902469999999973</v>
      </c>
      <c r="W46" s="52">
        <v>0.79999999999999982</v>
      </c>
      <c r="X46" s="52">
        <v>0.7250000000000002</v>
      </c>
      <c r="Y46" s="52">
        <v>0.69999999917584288</v>
      </c>
      <c r="Z46" s="52">
        <v>0.61999999999999988</v>
      </c>
      <c r="AA46" s="52">
        <v>0.59999999999999987</v>
      </c>
      <c r="AB46" s="52">
        <v>0.60000000000000031</v>
      </c>
      <c r="AC46" s="52">
        <v>0.49999999999999994</v>
      </c>
      <c r="AD46" s="52">
        <v>0.50000003272902904</v>
      </c>
      <c r="AE46" s="52">
        <v>0.49999999999999989</v>
      </c>
      <c r="AF46" s="52">
        <v>0.5</v>
      </c>
      <c r="AG46" s="52">
        <v>0.50000000557802871</v>
      </c>
      <c r="AH46" s="52">
        <v>0.54999999999999993</v>
      </c>
      <c r="AI46" s="52">
        <v>0.54999999999999982</v>
      </c>
      <c r="AJ46" s="52">
        <v>0.55000000000000016</v>
      </c>
      <c r="AK46" s="52">
        <v>0.55000000000000004</v>
      </c>
      <c r="AL46" s="52">
        <v>0.60000000028807843</v>
      </c>
      <c r="AM46" s="52">
        <v>0.59595274921694374</v>
      </c>
      <c r="AN46" s="52">
        <v>0.60000000000000009</v>
      </c>
      <c r="AO46" s="52">
        <v>0.54999999999999993</v>
      </c>
      <c r="AP46" s="52">
        <v>0.54581775295177259</v>
      </c>
      <c r="AQ46" s="52">
        <v>0.63</v>
      </c>
      <c r="AR46" s="52">
        <v>0.59999999924933678</v>
      </c>
      <c r="AS46" s="52">
        <v>0.56999663034892412</v>
      </c>
      <c r="AT46" s="52">
        <v>0.54762295139415706</v>
      </c>
      <c r="AU46" s="52">
        <v>0.55000000000000004</v>
      </c>
      <c r="AV46" s="52">
        <v>0.54999980578027274</v>
      </c>
      <c r="AW46" s="52">
        <v>0.64999999975111511</v>
      </c>
      <c r="AX46" s="52">
        <v>0.64999999999999947</v>
      </c>
      <c r="AY46" s="52">
        <v>0.51934957645441227</v>
      </c>
      <c r="AZ46" s="52">
        <v>0.70355701215488797</v>
      </c>
      <c r="BA46" s="52">
        <v>0.80000420102926506</v>
      </c>
      <c r="BB46" s="52">
        <v>0.79937118930259787</v>
      </c>
      <c r="BC46" s="52">
        <v>0.75</v>
      </c>
      <c r="BD46" s="52">
        <v>0.71000000000000019</v>
      </c>
      <c r="BE46" s="52">
        <v>0.7045932177726919</v>
      </c>
      <c r="BF46" s="52">
        <v>0.39690277698555626</v>
      </c>
      <c r="BG46" s="52">
        <v>0.35772950862715758</v>
      </c>
      <c r="BH46" s="52">
        <v>0</v>
      </c>
      <c r="BJ46" s="50"/>
      <c r="BL46" s="50"/>
      <c r="BN46" s="5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5B38-BFB3-4320-9269-985170E6946E}">
  <sheetPr>
    <tabColor theme="4" tint="0.79998168889431442"/>
  </sheetPr>
  <dimension ref="A1:AG54"/>
  <sheetViews>
    <sheetView showGridLines="0" zoomScaleNormal="100" workbookViewId="0"/>
  </sheetViews>
  <sheetFormatPr defaultRowHeight="15" x14ac:dyDescent="0.25"/>
  <cols>
    <col min="2" max="2" width="27.5703125" customWidth="1"/>
    <col min="3" max="4" width="12.42578125" customWidth="1"/>
    <col min="5" max="5" width="6.28515625" customWidth="1"/>
    <col min="6" max="6" width="0.28515625" customWidth="1"/>
    <col min="7" max="7" width="6" customWidth="1"/>
    <col min="8" max="8" width="24.28515625" customWidth="1"/>
    <col min="9" max="9" width="17.7109375" customWidth="1"/>
    <col min="10" max="10" width="3.5703125" customWidth="1"/>
    <col min="11" max="11" width="17.28515625" customWidth="1"/>
    <col min="12" max="12" width="20.7109375" customWidth="1"/>
    <col min="13" max="13" width="3.5703125" customWidth="1"/>
    <col min="14" max="14" width="17.28515625" customWidth="1"/>
    <col min="15" max="15" width="20.7109375" customWidth="1"/>
  </cols>
  <sheetData>
    <row r="1" spans="1:33" s="2" customFormat="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63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" customFormat="1" ht="18.75" customHeight="1" x14ac:dyDescent="0.25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6"/>
      <c r="T2" s="4"/>
      <c r="U2" s="4"/>
      <c r="V2" s="4"/>
      <c r="W2" s="1"/>
      <c r="X2" s="1"/>
      <c r="Y2" s="1"/>
      <c r="Z2" s="1"/>
      <c r="AA2" s="1"/>
      <c r="AB2" s="1"/>
      <c r="AC2" s="1"/>
      <c r="AD2" s="1"/>
      <c r="AE2" s="5"/>
      <c r="AF2" s="1"/>
      <c r="AG2" s="1"/>
    </row>
    <row r="3" spans="1:33" s="2" customFormat="1" ht="18.75" customHeight="1" x14ac:dyDescent="0.25">
      <c r="A3" s="1"/>
      <c r="B3" s="3" t="s">
        <v>215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66"/>
      <c r="T3" s="4"/>
      <c r="U3" s="4"/>
      <c r="V3" s="4"/>
      <c r="W3" s="1"/>
      <c r="X3" s="1"/>
      <c r="Y3" s="1"/>
      <c r="Z3" s="1"/>
      <c r="AA3" s="1"/>
      <c r="AB3" s="1"/>
      <c r="AC3" s="1"/>
      <c r="AD3" s="1"/>
      <c r="AE3" s="5"/>
      <c r="AF3" s="1"/>
      <c r="AG3" s="1"/>
    </row>
    <row r="4" spans="1:33" s="2" customFormat="1" ht="18.75" customHeight="1" x14ac:dyDescent="0.25">
      <c r="A4" s="1"/>
      <c r="B4" s="7">
        <v>44927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67"/>
      <c r="T4" s="8"/>
      <c r="U4" s="8"/>
      <c r="V4" s="8"/>
      <c r="W4" s="1"/>
      <c r="X4" s="1"/>
      <c r="Y4" s="1"/>
      <c r="Z4" s="1"/>
      <c r="AA4" s="1"/>
      <c r="AB4" s="1"/>
      <c r="AC4" s="1"/>
      <c r="AD4" s="1"/>
      <c r="AE4" s="5"/>
      <c r="AF4" s="1"/>
      <c r="AG4" s="1"/>
    </row>
    <row r="5" spans="1:33" s="2" customFormat="1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7" spans="1:33" s="76" customFormat="1" ht="54.75" customHeight="1" x14ac:dyDescent="0.25">
      <c r="B7" s="150" t="s">
        <v>216</v>
      </c>
      <c r="C7" s="150"/>
      <c r="D7" s="150"/>
      <c r="E7" s="150"/>
      <c r="F7" s="150"/>
      <c r="G7" s="150"/>
      <c r="H7" s="150"/>
    </row>
    <row r="8" spans="1:33" ht="13.5" customHeight="1" x14ac:dyDescent="0.3">
      <c r="B8" s="77"/>
      <c r="C8" s="77"/>
      <c r="D8" s="77"/>
      <c r="E8" s="77"/>
      <c r="F8" s="77"/>
      <c r="G8" s="77"/>
      <c r="H8" s="77"/>
    </row>
    <row r="9" spans="1:33" ht="48" customHeight="1" x14ac:dyDescent="0.3">
      <c r="B9" s="77"/>
      <c r="C9" s="77"/>
      <c r="D9" s="77"/>
      <c r="E9" s="77"/>
      <c r="F9" s="77"/>
      <c r="G9" s="77"/>
      <c r="H9" s="77"/>
      <c r="K9" s="151" t="s">
        <v>217</v>
      </c>
      <c r="L9" s="152"/>
      <c r="M9" s="78"/>
      <c r="N9" s="151" t="s">
        <v>218</v>
      </c>
      <c r="O9" s="152"/>
    </row>
    <row r="11" spans="1:33" ht="47.25" customHeight="1" x14ac:dyDescent="0.25">
      <c r="F11" s="79"/>
      <c r="G11" s="80"/>
      <c r="H11" s="81"/>
      <c r="I11" s="79" t="s">
        <v>219</v>
      </c>
      <c r="J11" s="80"/>
      <c r="K11" s="82" t="s">
        <v>220</v>
      </c>
      <c r="L11" s="82" t="s">
        <v>221</v>
      </c>
      <c r="M11" s="83"/>
      <c r="N11" s="82" t="s">
        <v>222</v>
      </c>
      <c r="O11" s="82" t="s">
        <v>223</v>
      </c>
    </row>
    <row r="12" spans="1:33" ht="18.75" x14ac:dyDescent="0.25">
      <c r="B12" s="84" t="str">
        <f>"PL"&amp;aux!I11</f>
        <v>PL (31/01)</v>
      </c>
      <c r="C12" s="153">
        <f>aux!I23</f>
        <v>1269607818.8900001</v>
      </c>
      <c r="D12" s="153"/>
      <c r="F12" s="79"/>
      <c r="G12" s="80"/>
      <c r="H12" s="85" t="s">
        <v>224</v>
      </c>
      <c r="I12" s="86" cm="1">
        <f t="array" ref="I12:I25">aux!J61:J74</f>
        <v>72</v>
      </c>
      <c r="J12" s="86"/>
      <c r="K12" s="87" cm="1">
        <f t="array" ref="K12:K25">aux!L93:L106</f>
        <v>0.13432139811591237</v>
      </c>
      <c r="L12" s="87" cm="1">
        <f t="array" ref="L12:L25">aux!L109:L122</f>
        <v>0.12482139811591238</v>
      </c>
      <c r="M12" s="90"/>
      <c r="N12" s="87" cm="1">
        <f t="array" ref="N12:N25">aux!K93:K106</f>
        <v>6.6465816832508073E-2</v>
      </c>
      <c r="O12" s="87" cm="1">
        <f t="array" ref="O12:O25">aux!K109:K122</f>
        <v>5.6965816832508072E-2</v>
      </c>
    </row>
    <row r="13" spans="1:33" ht="18.75" x14ac:dyDescent="0.25">
      <c r="B13" s="91" t="s">
        <v>225</v>
      </c>
      <c r="C13" s="92"/>
      <c r="D13" s="93">
        <f>aux!J26</f>
        <v>0.93795481632733768</v>
      </c>
      <c r="F13" s="79"/>
      <c r="G13" s="80"/>
      <c r="H13" s="85" t="s">
        <v>224</v>
      </c>
      <c r="I13" s="94">
        <v>74</v>
      </c>
      <c r="J13" s="86"/>
      <c r="K13" s="88">
        <v>0.12897985436729265</v>
      </c>
      <c r="L13" s="88">
        <v>0.11947985436729265</v>
      </c>
      <c r="M13" s="90"/>
      <c r="N13" s="88">
        <v>6.1443806468884477E-2</v>
      </c>
      <c r="O13" s="88">
        <v>5.1943806468884475E-2</v>
      </c>
    </row>
    <row r="14" spans="1:33" ht="18.75" x14ac:dyDescent="0.25">
      <c r="B14" s="91" t="s">
        <v>226</v>
      </c>
      <c r="C14" s="92"/>
      <c r="D14" s="93">
        <f>aux!J32</f>
        <v>0.19920409463167563</v>
      </c>
      <c r="F14" s="79"/>
      <c r="G14" s="80"/>
      <c r="H14" s="85" t="s">
        <v>224</v>
      </c>
      <c r="I14" s="86">
        <v>76</v>
      </c>
      <c r="J14" s="86"/>
      <c r="K14" s="87">
        <v>0.12363831061867359</v>
      </c>
      <c r="L14" s="87">
        <v>0.11413831061867359</v>
      </c>
      <c r="M14" s="90"/>
      <c r="N14" s="87">
        <v>5.6421796105261102E-2</v>
      </c>
      <c r="O14" s="87">
        <v>4.69217961052611E-2</v>
      </c>
    </row>
    <row r="15" spans="1:33" ht="18.75" x14ac:dyDescent="0.25">
      <c r="B15" s="91" t="s">
        <v>227</v>
      </c>
      <c r="C15" s="92"/>
      <c r="D15" s="93">
        <f>aux!J33</f>
        <v>0.61833772237054219</v>
      </c>
      <c r="F15" s="79"/>
      <c r="G15" s="80"/>
      <c r="H15" s="85" t="s">
        <v>224</v>
      </c>
      <c r="I15" s="94">
        <v>78</v>
      </c>
      <c r="J15" s="86"/>
      <c r="K15" s="88">
        <v>0.1182967668700543</v>
      </c>
      <c r="L15" s="88">
        <v>0.10879676687005431</v>
      </c>
      <c r="M15" s="90"/>
      <c r="N15" s="88">
        <v>5.1399785741637727E-2</v>
      </c>
      <c r="O15" s="88">
        <v>4.1899785741637725E-2</v>
      </c>
    </row>
    <row r="16" spans="1:33" ht="18.75" x14ac:dyDescent="0.25">
      <c r="B16" s="91" t="s">
        <v>293</v>
      </c>
      <c r="C16" s="92"/>
      <c r="D16" s="93">
        <f>aux!J34</f>
        <v>0.12041299932511984</v>
      </c>
      <c r="F16" s="79"/>
      <c r="G16" s="80"/>
      <c r="H16" s="85" t="s">
        <v>224</v>
      </c>
      <c r="I16" s="86">
        <v>80</v>
      </c>
      <c r="J16" s="86"/>
      <c r="K16" s="87">
        <v>0.1129552231214348</v>
      </c>
      <c r="L16" s="87">
        <v>0.10345522312143481</v>
      </c>
      <c r="M16" s="90"/>
      <c r="N16" s="87">
        <v>4.6377775378014352E-2</v>
      </c>
      <c r="O16" s="87">
        <v>3.6877775378014351E-2</v>
      </c>
    </row>
    <row r="17" spans="2:15" ht="19.5" thickBot="1" x14ac:dyDescent="0.3">
      <c r="F17" s="79"/>
      <c r="G17" s="80"/>
      <c r="H17" s="85" t="s">
        <v>224</v>
      </c>
      <c r="I17" s="94">
        <v>82</v>
      </c>
      <c r="J17" s="86"/>
      <c r="K17" s="88">
        <v>0.10761367937281552</v>
      </c>
      <c r="L17" s="88">
        <v>9.8113679372815524E-2</v>
      </c>
      <c r="M17" s="90"/>
      <c r="N17" s="88">
        <v>4.1355765014390977E-2</v>
      </c>
      <c r="O17" s="88">
        <v>3.1855765014390976E-2</v>
      </c>
    </row>
    <row r="18" spans="2:15" ht="19.5" thickBot="1" x14ac:dyDescent="0.3">
      <c r="B18" s="91" t="s">
        <v>228</v>
      </c>
      <c r="C18" s="92"/>
      <c r="D18" s="93">
        <f>aux!J29</f>
        <v>4.3783551946458332E-2</v>
      </c>
      <c r="F18" s="79"/>
      <c r="G18" s="80"/>
      <c r="H18" s="95" t="s">
        <v>229</v>
      </c>
      <c r="I18" s="96">
        <v>84</v>
      </c>
      <c r="J18" s="96"/>
      <c r="K18" s="89">
        <v>0.10227213562419624</v>
      </c>
      <c r="L18" s="89">
        <v>9.2772135624196242E-2</v>
      </c>
      <c r="M18" s="96"/>
      <c r="N18" s="89">
        <v>3.633375465076738E-2</v>
      </c>
      <c r="O18" s="89">
        <v>2.6833754650767379E-2</v>
      </c>
    </row>
    <row r="19" spans="2:15" ht="18.75" x14ac:dyDescent="0.25">
      <c r="F19" s="79"/>
      <c r="G19" s="80"/>
      <c r="H19" s="85" t="s">
        <v>224</v>
      </c>
      <c r="I19" s="94">
        <v>86</v>
      </c>
      <c r="J19" s="86"/>
      <c r="K19" s="88">
        <v>9.6930591875576733E-2</v>
      </c>
      <c r="L19" s="88">
        <v>8.7430591875576738E-2</v>
      </c>
      <c r="M19" s="90"/>
      <c r="N19" s="88">
        <v>3.1311744287144005E-2</v>
      </c>
      <c r="O19" s="88">
        <v>2.1811744287144004E-2</v>
      </c>
    </row>
    <row r="20" spans="2:15" ht="18.75" x14ac:dyDescent="0.25">
      <c r="B20" s="97" t="str">
        <f>"Carteira"&amp;aux!I11</f>
        <v>Carteira (31/01)</v>
      </c>
      <c r="C20" s="98" t="s">
        <v>230</v>
      </c>
      <c r="D20" s="98" t="s">
        <v>231</v>
      </c>
      <c r="F20" s="79"/>
      <c r="G20" s="80"/>
      <c r="H20" s="85" t="s">
        <v>224</v>
      </c>
      <c r="I20" s="86">
        <v>88</v>
      </c>
      <c r="J20" s="86"/>
      <c r="K20" s="87">
        <v>9.1589048126957673E-2</v>
      </c>
      <c r="L20" s="87">
        <v>8.2089048126957678E-2</v>
      </c>
      <c r="M20" s="90"/>
      <c r="N20" s="87">
        <v>2.6289733923520853E-2</v>
      </c>
      <c r="O20" s="87">
        <v>1.6789733923520851E-2</v>
      </c>
    </row>
    <row r="21" spans="2:15" ht="18.75" x14ac:dyDescent="0.25">
      <c r="B21" s="91" t="s">
        <v>232</v>
      </c>
      <c r="C21" s="99" cm="1">
        <f t="array" ref="C21:D23">aux!I43:J45</f>
        <v>2.6675578250356248E-2</v>
      </c>
      <c r="D21" s="99">
        <v>3.0144548903893002E-2</v>
      </c>
      <c r="F21" s="79"/>
      <c r="G21" s="80"/>
      <c r="H21" s="85"/>
      <c r="I21" s="94">
        <v>90</v>
      </c>
      <c r="J21" s="86"/>
      <c r="K21" s="88">
        <v>8.6247504378338391E-2</v>
      </c>
      <c r="L21" s="88">
        <v>7.6747504378338396E-2</v>
      </c>
      <c r="M21" s="90"/>
      <c r="N21" s="88">
        <v>2.1267723559897478E-2</v>
      </c>
      <c r="O21" s="88">
        <v>1.1767723559897478E-2</v>
      </c>
    </row>
    <row r="22" spans="2:15" ht="19.5" thickBot="1" x14ac:dyDescent="0.3">
      <c r="B22" s="91" t="s">
        <v>233</v>
      </c>
      <c r="C22" s="99">
        <v>6.6457919324330705E-2</v>
      </c>
      <c r="D22" s="99">
        <v>7.2581233670242773E-2</v>
      </c>
      <c r="F22" s="79"/>
      <c r="G22" s="80"/>
      <c r="H22" s="85" t="s">
        <v>224</v>
      </c>
      <c r="I22" s="86">
        <v>92</v>
      </c>
      <c r="J22" s="86"/>
      <c r="K22" s="87">
        <v>8.0905960629718887E-2</v>
      </c>
      <c r="L22" s="87">
        <v>7.1405960629718893E-2</v>
      </c>
      <c r="M22" s="90"/>
      <c r="N22" s="87">
        <v>1.6245713196274103E-2</v>
      </c>
      <c r="O22" s="87">
        <v>6.7457131962741033E-3</v>
      </c>
    </row>
    <row r="23" spans="2:15" ht="19.5" thickBot="1" x14ac:dyDescent="0.3">
      <c r="B23" s="91" t="s">
        <v>294</v>
      </c>
      <c r="C23" s="99">
        <v>4.7500000000000001E-2</v>
      </c>
      <c r="D23" s="99">
        <v>6.8998073488395067E-2</v>
      </c>
      <c r="F23" s="79"/>
      <c r="G23" s="80"/>
      <c r="H23" s="95" t="s">
        <v>235</v>
      </c>
      <c r="I23" s="96">
        <v>94</v>
      </c>
      <c r="J23" s="96"/>
      <c r="K23" s="89">
        <v>7.5564416881099827E-2</v>
      </c>
      <c r="L23" s="89">
        <v>6.6064416881099833E-2</v>
      </c>
      <c r="M23" s="96"/>
      <c r="N23" s="89">
        <v>1.1223702832650728E-2</v>
      </c>
      <c r="O23" s="89">
        <v>1.7237028326507284E-3</v>
      </c>
    </row>
    <row r="24" spans="2:15" ht="18.75" x14ac:dyDescent="0.25">
      <c r="F24" s="79"/>
      <c r="G24" s="80"/>
      <c r="H24" s="85" t="s">
        <v>224</v>
      </c>
      <c r="I24" s="86">
        <v>96</v>
      </c>
      <c r="J24" s="86"/>
      <c r="K24" s="87">
        <v>7.0222873132480323E-2</v>
      </c>
      <c r="L24" s="87">
        <v>6.0722873132480322E-2</v>
      </c>
      <c r="M24" s="90"/>
      <c r="N24" s="87">
        <v>6.2016924690271313E-3</v>
      </c>
      <c r="O24" s="87">
        <v>-3.2983075309728684E-3</v>
      </c>
    </row>
    <row r="25" spans="2:15" ht="18.75" x14ac:dyDescent="0.25">
      <c r="B25" s="100" t="s">
        <v>234</v>
      </c>
      <c r="C25" s="92"/>
      <c r="D25" s="101">
        <f>aux!I36</f>
        <v>4.2577889325167888</v>
      </c>
      <c r="F25" s="79"/>
      <c r="G25" s="80"/>
      <c r="H25" s="85" t="s">
        <v>224</v>
      </c>
      <c r="I25" s="94">
        <v>98</v>
      </c>
      <c r="J25" s="86"/>
      <c r="K25" s="88">
        <v>6.4881329383861042E-2</v>
      </c>
      <c r="L25" s="88">
        <v>5.538132938386104E-2</v>
      </c>
      <c r="M25" s="90"/>
      <c r="N25" s="88">
        <v>1.1796821054039786E-3</v>
      </c>
      <c r="O25" s="88">
        <v>-8.3203178945960212E-3</v>
      </c>
    </row>
    <row r="26" spans="2:15" ht="18.75" x14ac:dyDescent="0.25">
      <c r="B26" s="102"/>
      <c r="C26" s="102"/>
      <c r="D26" s="103"/>
      <c r="F26" s="79"/>
      <c r="G26" s="80"/>
    </row>
    <row r="27" spans="2:15" ht="18.75" x14ac:dyDescent="0.25">
      <c r="B27" s="91" t="str">
        <f>"Cota PL"&amp;aux!I11</f>
        <v>Cota PL (31/01)</v>
      </c>
      <c r="C27" s="92"/>
      <c r="D27" s="101">
        <f>aux!I13</f>
        <v>94.472543371083432</v>
      </c>
      <c r="F27" s="79"/>
      <c r="G27" s="80"/>
      <c r="I27" s="105" t="s">
        <v>237</v>
      </c>
      <c r="J27" s="105"/>
    </row>
    <row r="28" spans="2:15" ht="18.75" x14ac:dyDescent="0.25">
      <c r="B28" s="91" t="str">
        <f>"Cota Mercado"&amp;aux!I11</f>
        <v>Cota Mercado (31/01)</v>
      </c>
      <c r="C28" s="92"/>
      <c r="D28" s="101">
        <f>aux!I14</f>
        <v>84.22</v>
      </c>
      <c r="F28" s="79"/>
      <c r="G28" s="80"/>
    </row>
    <row r="29" spans="2:15" ht="18.75" x14ac:dyDescent="0.25">
      <c r="B29" s="91" t="s">
        <v>236</v>
      </c>
      <c r="C29" s="92"/>
      <c r="D29" s="104">
        <f>(D28-D27)/D27</f>
        <v>-0.10852405371169013</v>
      </c>
      <c r="F29" s="79"/>
      <c r="G29" s="80"/>
    </row>
    <row r="30" spans="2:15" ht="16.5" x14ac:dyDescent="0.25">
      <c r="F30" s="79"/>
      <c r="G30" s="80"/>
    </row>
    <row r="31" spans="2:15" ht="18.75" x14ac:dyDescent="0.25">
      <c r="B31" s="143" t="s">
        <v>295</v>
      </c>
      <c r="C31" s="92"/>
      <c r="D31" s="147">
        <f>aux!I16</f>
        <v>0.14272163606450583</v>
      </c>
      <c r="F31" s="79"/>
      <c r="G31" s="80"/>
    </row>
    <row r="32" spans="2:15" s="106" customFormat="1" ht="18.75" x14ac:dyDescent="0.25">
      <c r="B32" s="84" t="s">
        <v>239</v>
      </c>
      <c r="C32" s="92"/>
      <c r="D32" s="147"/>
      <c r="F32" s="79"/>
      <c r="G32" s="80"/>
    </row>
    <row r="33" spans="2:7" ht="16.5" x14ac:dyDescent="0.25">
      <c r="F33" s="79"/>
      <c r="G33" s="80"/>
    </row>
    <row r="34" spans="2:7" ht="18.75" x14ac:dyDescent="0.25">
      <c r="B34" s="84" t="s">
        <v>238</v>
      </c>
      <c r="C34" s="92"/>
      <c r="D34" s="147">
        <f>aux!I17</f>
        <v>0.14631557337882928</v>
      </c>
      <c r="F34" s="79"/>
      <c r="G34" s="80"/>
    </row>
    <row r="35" spans="2:7" ht="18.75" x14ac:dyDescent="0.25">
      <c r="B35" s="84" t="s">
        <v>239</v>
      </c>
      <c r="C35" s="92"/>
      <c r="D35" s="147"/>
      <c r="F35" s="79"/>
      <c r="G35" s="80"/>
    </row>
    <row r="36" spans="2:7" ht="16.5" x14ac:dyDescent="0.25">
      <c r="F36" s="79"/>
      <c r="G36" s="80"/>
    </row>
    <row r="37" spans="2:7" ht="117.6" customHeight="1" x14ac:dyDescent="0.25">
      <c r="B37" s="149" t="s">
        <v>240</v>
      </c>
      <c r="C37" s="149"/>
      <c r="D37" s="149"/>
      <c r="F37" s="79"/>
      <c r="G37" s="80"/>
    </row>
    <row r="38" spans="2:7" ht="15" customHeight="1" x14ac:dyDescent="0.25">
      <c r="F38" s="79"/>
      <c r="G38" s="80"/>
    </row>
    <row r="39" spans="2:7" ht="18.75" x14ac:dyDescent="0.25">
      <c r="B39" s="107" t="s">
        <v>241</v>
      </c>
      <c r="C39" s="98"/>
      <c r="D39" s="98"/>
      <c r="F39" s="79"/>
      <c r="G39" s="80"/>
    </row>
    <row r="40" spans="2:7" ht="18.75" x14ac:dyDescent="0.25">
      <c r="B40" s="91" t="str" cm="1">
        <f t="array" ref="B40:B42">aux!H43:H45&amp;" (E)"</f>
        <v>CDI + (E)</v>
      </c>
      <c r="C40" s="146">
        <v>0.135864915117105</v>
      </c>
      <c r="D40" s="146"/>
      <c r="F40" s="79"/>
      <c r="G40" s="80"/>
    </row>
    <row r="41" spans="2:7" ht="18.75" x14ac:dyDescent="0.25">
      <c r="B41" s="91" t="str">
        <v>IPCA + (E)</v>
      </c>
      <c r="C41" s="146">
        <v>6.7917000000000005E-2</v>
      </c>
      <c r="D41" s="146"/>
      <c r="F41" s="79"/>
      <c r="G41" s="80"/>
    </row>
    <row r="42" spans="2:7" ht="18.75" x14ac:dyDescent="0.25">
      <c r="B42" s="91" t="str">
        <v>IGPM + (E)</v>
      </c>
      <c r="C42" s="146">
        <v>4.6699999999999998E-2</v>
      </c>
      <c r="D42" s="146"/>
      <c r="F42" s="79"/>
      <c r="G42" s="80"/>
    </row>
    <row r="43" spans="2:7" ht="16.5" x14ac:dyDescent="0.25">
      <c r="F43" s="79"/>
      <c r="G43" s="80"/>
    </row>
    <row r="44" spans="2:7" ht="16.5" customHeight="1" x14ac:dyDescent="0.25">
      <c r="B44" s="148" t="s">
        <v>301</v>
      </c>
      <c r="C44" s="148"/>
      <c r="D44" s="148"/>
      <c r="F44" s="79"/>
      <c r="G44" s="80"/>
    </row>
    <row r="45" spans="2:7" ht="16.5" x14ac:dyDescent="0.25">
      <c r="B45" s="148"/>
      <c r="C45" s="148"/>
      <c r="D45" s="148"/>
      <c r="F45" s="79"/>
      <c r="G45" s="80"/>
    </row>
    <row r="46" spans="2:7" ht="15" customHeight="1" x14ac:dyDescent="0.25">
      <c r="B46" s="148"/>
      <c r="C46" s="148"/>
      <c r="D46" s="148"/>
      <c r="F46" s="79"/>
    </row>
    <row r="47" spans="2:7" ht="15" customHeight="1" x14ac:dyDescent="0.25">
      <c r="B47" s="148"/>
      <c r="C47" s="148"/>
      <c r="D47" s="148"/>
      <c r="F47" s="79"/>
    </row>
    <row r="48" spans="2:7" ht="15" customHeight="1" x14ac:dyDescent="0.25">
      <c r="B48" s="148"/>
      <c r="C48" s="148"/>
      <c r="D48" s="148"/>
      <c r="F48" s="79"/>
    </row>
    <row r="49" spans="2:6" ht="15" customHeight="1" x14ac:dyDescent="0.25">
      <c r="B49" s="148"/>
      <c r="C49" s="148"/>
      <c r="D49" s="148"/>
      <c r="F49" s="79"/>
    </row>
    <row r="50" spans="2:6" ht="15" customHeight="1" x14ac:dyDescent="0.25">
      <c r="B50" s="148"/>
      <c r="C50" s="148"/>
      <c r="D50" s="148"/>
      <c r="F50" s="79"/>
    </row>
    <row r="51" spans="2:6" ht="15" customHeight="1" x14ac:dyDescent="0.25">
      <c r="B51" s="148"/>
      <c r="C51" s="148"/>
      <c r="D51" s="148"/>
      <c r="F51" s="79"/>
    </row>
    <row r="52" spans="2:6" ht="16.5" x14ac:dyDescent="0.25">
      <c r="B52" s="148"/>
      <c r="C52" s="148"/>
      <c r="D52" s="148"/>
      <c r="F52" s="79"/>
    </row>
    <row r="53" spans="2:6" ht="16.5" x14ac:dyDescent="0.25">
      <c r="B53" s="148"/>
      <c r="C53" s="148"/>
      <c r="D53" s="148"/>
      <c r="F53" s="79"/>
    </row>
    <row r="54" spans="2:6" x14ac:dyDescent="0.25">
      <c r="B54" s="148"/>
      <c r="C54" s="148"/>
      <c r="D54" s="148"/>
    </row>
  </sheetData>
  <mergeCells count="11">
    <mergeCell ref="B7:H7"/>
    <mergeCell ref="K9:L9"/>
    <mergeCell ref="N9:O9"/>
    <mergeCell ref="C12:D12"/>
    <mergeCell ref="D31:D32"/>
    <mergeCell ref="C40:D40"/>
    <mergeCell ref="C41:D41"/>
    <mergeCell ref="D34:D35"/>
    <mergeCell ref="C42:D42"/>
    <mergeCell ref="B44:D54"/>
    <mergeCell ref="B37:D37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531E-E688-4794-B5DB-BDDF304D3341}">
  <dimension ref="G4:M122"/>
  <sheetViews>
    <sheetView workbookViewId="0">
      <selection activeCell="G55" sqref="G55"/>
    </sheetView>
  </sheetViews>
  <sheetFormatPr defaultRowHeight="15" x14ac:dyDescent="0.25"/>
  <cols>
    <col min="7" max="7" width="10.42578125" customWidth="1"/>
    <col min="8" max="8" width="19.42578125" customWidth="1"/>
    <col min="9" max="9" width="17.42578125" customWidth="1"/>
    <col min="10" max="10" width="17.5703125" customWidth="1"/>
    <col min="11" max="11" width="18.42578125" customWidth="1"/>
    <col min="12" max="12" width="18" customWidth="1"/>
    <col min="13" max="13" width="20.42578125" customWidth="1"/>
  </cols>
  <sheetData>
    <row r="4" spans="7:12" ht="15.75" thickBot="1" x14ac:dyDescent="0.3"/>
    <row r="5" spans="7:12" x14ac:dyDescent="0.25">
      <c r="G5" s="106"/>
      <c r="H5" s="108" t="s">
        <v>242</v>
      </c>
      <c r="I5" s="109">
        <v>2022</v>
      </c>
      <c r="J5" s="109">
        <v>2023</v>
      </c>
      <c r="K5" s="109">
        <v>2026</v>
      </c>
      <c r="L5" s="110"/>
    </row>
    <row r="6" spans="7:12" x14ac:dyDescent="0.25">
      <c r="G6" s="111" t="s">
        <v>243</v>
      </c>
      <c r="H6" s="112" t="s">
        <v>244</v>
      </c>
      <c r="I6" s="113">
        <v>0</v>
      </c>
      <c r="J6" s="113">
        <v>0.13586491511710497</v>
      </c>
      <c r="K6" s="113">
        <v>0.12914242742558257</v>
      </c>
      <c r="L6" s="114"/>
    </row>
    <row r="7" spans="7:12" x14ac:dyDescent="0.25">
      <c r="G7" s="111" t="s">
        <v>245</v>
      </c>
      <c r="H7" s="112" t="s">
        <v>246</v>
      </c>
      <c r="I7" s="113">
        <v>0</v>
      </c>
      <c r="J7" s="113">
        <v>6.7916999999999991E-2</v>
      </c>
      <c r="K7" s="113">
        <v>6.3126000000000002E-2</v>
      </c>
      <c r="L7" s="114"/>
    </row>
    <row r="8" spans="7:12" x14ac:dyDescent="0.25">
      <c r="G8" s="111" t="s">
        <v>247</v>
      </c>
      <c r="H8" s="112" t="s">
        <v>248</v>
      </c>
      <c r="I8" s="113">
        <v>0</v>
      </c>
      <c r="J8" s="113">
        <v>4.6699999999999998E-2</v>
      </c>
      <c r="K8" s="113">
        <v>3.95E-2</v>
      </c>
      <c r="L8" s="114"/>
    </row>
    <row r="9" spans="7:12" x14ac:dyDescent="0.25">
      <c r="G9" s="111"/>
      <c r="H9" s="112"/>
      <c r="I9" s="113"/>
      <c r="J9" s="113"/>
      <c r="K9" s="113"/>
      <c r="L9" s="114"/>
    </row>
    <row r="10" spans="7:12" x14ac:dyDescent="0.25">
      <c r="H10" s="112"/>
      <c r="L10" s="114"/>
    </row>
    <row r="11" spans="7:12" x14ac:dyDescent="0.25">
      <c r="H11" s="112" t="s">
        <v>249</v>
      </c>
      <c r="I11" s="115" t="s">
        <v>250</v>
      </c>
      <c r="L11" s="114"/>
    </row>
    <row r="12" spans="7:12" x14ac:dyDescent="0.25">
      <c r="H12" s="112" t="s">
        <v>251</v>
      </c>
      <c r="I12" s="134">
        <v>44957</v>
      </c>
      <c r="J12" t="s">
        <v>252</v>
      </c>
      <c r="L12" s="114"/>
    </row>
    <row r="13" spans="7:12" x14ac:dyDescent="0.25">
      <c r="H13" s="112" t="s">
        <v>253</v>
      </c>
      <c r="I13" s="135">
        <v>94.472543371083432</v>
      </c>
      <c r="J13" t="s">
        <v>252</v>
      </c>
      <c r="L13" s="114"/>
    </row>
    <row r="14" spans="7:12" x14ac:dyDescent="0.25">
      <c r="H14" s="112" t="s">
        <v>254</v>
      </c>
      <c r="I14" s="135">
        <v>84.22</v>
      </c>
      <c r="J14" t="s">
        <v>252</v>
      </c>
      <c r="L14" s="114"/>
    </row>
    <row r="15" spans="7:12" x14ac:dyDescent="0.25">
      <c r="H15" s="112"/>
      <c r="L15" s="114"/>
    </row>
    <row r="16" spans="7:12" x14ac:dyDescent="0.25">
      <c r="H16" s="112" t="s">
        <v>255</v>
      </c>
      <c r="I16" s="116">
        <v>0.14272163606450583</v>
      </c>
      <c r="J16" t="s">
        <v>299</v>
      </c>
      <c r="L16" s="114"/>
    </row>
    <row r="17" spans="8:12" x14ac:dyDescent="0.25">
      <c r="H17" s="112" t="s">
        <v>256</v>
      </c>
      <c r="I17" s="116">
        <v>0.14631557337882928</v>
      </c>
      <c r="J17" t="s">
        <v>252</v>
      </c>
      <c r="L17" s="114"/>
    </row>
    <row r="18" spans="8:12" x14ac:dyDescent="0.25">
      <c r="H18" s="112"/>
      <c r="L18" s="114"/>
    </row>
    <row r="19" spans="8:12" x14ac:dyDescent="0.25">
      <c r="H19" s="112" t="s">
        <v>257</v>
      </c>
      <c r="I19" s="136">
        <v>1.5E-3</v>
      </c>
      <c r="L19" s="114"/>
    </row>
    <row r="20" spans="8:12" x14ac:dyDescent="0.25">
      <c r="H20" s="112" t="s">
        <v>258</v>
      </c>
      <c r="I20" s="136">
        <v>8.0000000000000002E-3</v>
      </c>
      <c r="L20" s="114"/>
    </row>
    <row r="21" spans="8:12" x14ac:dyDescent="0.25">
      <c r="H21" s="112" t="s">
        <v>259</v>
      </c>
      <c r="I21" s="136">
        <v>9.4999999999999998E-3</v>
      </c>
      <c r="L21" s="114"/>
    </row>
    <row r="22" spans="8:12" x14ac:dyDescent="0.25">
      <c r="H22" s="112"/>
      <c r="L22" s="114"/>
    </row>
    <row r="23" spans="8:12" x14ac:dyDescent="0.25">
      <c r="H23" s="112" t="s">
        <v>260</v>
      </c>
      <c r="I23" s="118">
        <v>1269607818.8900001</v>
      </c>
      <c r="L23" s="114"/>
    </row>
    <row r="24" spans="8:12" x14ac:dyDescent="0.25">
      <c r="H24" s="112"/>
      <c r="L24" s="114"/>
    </row>
    <row r="25" spans="8:12" x14ac:dyDescent="0.25">
      <c r="H25" s="112" t="s">
        <v>261</v>
      </c>
      <c r="I25" t="s">
        <v>262</v>
      </c>
      <c r="J25" t="s">
        <v>263</v>
      </c>
      <c r="L25" s="114"/>
    </row>
    <row r="26" spans="8:12" x14ac:dyDescent="0.25">
      <c r="H26" s="112" t="s">
        <v>264</v>
      </c>
      <c r="I26" s="119">
        <v>1190834768.5747218</v>
      </c>
      <c r="J26" s="120">
        <v>0.93795481632733768</v>
      </c>
      <c r="L26" s="114"/>
    </row>
    <row r="27" spans="8:12" x14ac:dyDescent="0.25">
      <c r="H27" s="112" t="s">
        <v>265</v>
      </c>
      <c r="I27" s="119">
        <v>-105054619</v>
      </c>
      <c r="J27" s="120">
        <v>-8.2745724653655442E-2</v>
      </c>
      <c r="L27" s="114"/>
    </row>
    <row r="28" spans="8:12" x14ac:dyDescent="0.25">
      <c r="H28" s="112" t="s">
        <v>266</v>
      </c>
      <c r="I28" s="119">
        <v>23305864.447952311</v>
      </c>
      <c r="J28" s="120">
        <v>1.8356743004566793E-2</v>
      </c>
      <c r="L28" s="114"/>
    </row>
    <row r="29" spans="8:12" x14ac:dyDescent="0.25">
      <c r="H29" s="112" t="s">
        <v>267</v>
      </c>
      <c r="I29" s="119">
        <v>55587939.889999986</v>
      </c>
      <c r="J29" s="120">
        <v>4.3783551946458332E-2</v>
      </c>
      <c r="L29" s="114"/>
    </row>
    <row r="30" spans="8:12" x14ac:dyDescent="0.25">
      <c r="H30" s="112" t="s">
        <v>268</v>
      </c>
      <c r="I30" s="119">
        <v>104933664.86048399</v>
      </c>
      <c r="J30" s="120">
        <v>8.2650455754302132E-2</v>
      </c>
      <c r="L30" s="114"/>
    </row>
    <row r="31" spans="8:12" x14ac:dyDescent="0.25">
      <c r="H31" s="112" t="s">
        <v>82</v>
      </c>
      <c r="I31" s="119"/>
      <c r="J31" s="120">
        <v>0</v>
      </c>
      <c r="L31" s="114"/>
    </row>
    <row r="32" spans="8:12" x14ac:dyDescent="0.25">
      <c r="H32" s="112" t="s">
        <v>269</v>
      </c>
      <c r="I32" s="119">
        <v>252911076.09927887</v>
      </c>
      <c r="J32" s="120">
        <v>0.19920409463167563</v>
      </c>
      <c r="L32" s="114"/>
    </row>
    <row r="33" spans="8:12" x14ac:dyDescent="0.25">
      <c r="H33" s="112" t="s">
        <v>270</v>
      </c>
      <c r="I33" s="119">
        <v>785046407.03627455</v>
      </c>
      <c r="J33" s="120">
        <v>0.61833772237054219</v>
      </c>
      <c r="L33" s="114"/>
    </row>
    <row r="34" spans="8:12" x14ac:dyDescent="0.25">
      <c r="H34" s="112" t="s">
        <v>271</v>
      </c>
      <c r="I34" s="119">
        <v>152877285.43916845</v>
      </c>
      <c r="J34" s="120">
        <v>0.12041299932511984</v>
      </c>
      <c r="L34" s="114"/>
    </row>
    <row r="35" spans="8:12" x14ac:dyDescent="0.25">
      <c r="H35" s="112"/>
      <c r="L35" s="114"/>
    </row>
    <row r="36" spans="8:12" x14ac:dyDescent="0.25">
      <c r="H36" s="112" t="s">
        <v>272</v>
      </c>
      <c r="I36" s="121">
        <v>4.2577889325167888</v>
      </c>
      <c r="L36" s="114"/>
    </row>
    <row r="37" spans="8:12" x14ac:dyDescent="0.25">
      <c r="H37" s="112"/>
      <c r="L37" s="114"/>
    </row>
    <row r="38" spans="8:12" x14ac:dyDescent="0.25">
      <c r="H38" s="112" t="s">
        <v>273</v>
      </c>
      <c r="I38" s="122">
        <v>2</v>
      </c>
      <c r="L38" s="114"/>
    </row>
    <row r="39" spans="8:12" x14ac:dyDescent="0.25">
      <c r="H39" s="112"/>
      <c r="L39" s="114"/>
    </row>
    <row r="40" spans="8:12" x14ac:dyDescent="0.25">
      <c r="H40" s="112" t="s">
        <v>274</v>
      </c>
      <c r="I40" s="137">
        <v>2023</v>
      </c>
      <c r="L40" s="114"/>
    </row>
    <row r="41" spans="8:12" x14ac:dyDescent="0.25">
      <c r="H41" s="112"/>
      <c r="L41" s="114"/>
    </row>
    <row r="42" spans="8:12" x14ac:dyDescent="0.25">
      <c r="H42" s="112" t="s">
        <v>275</v>
      </c>
      <c r="I42" t="s">
        <v>276</v>
      </c>
      <c r="J42" t="s">
        <v>277</v>
      </c>
      <c r="L42" s="114"/>
    </row>
    <row r="43" spans="8:12" x14ac:dyDescent="0.25">
      <c r="H43" s="138" t="s">
        <v>243</v>
      </c>
      <c r="I43" s="113">
        <v>2.6675578250356248E-2</v>
      </c>
      <c r="J43" s="117">
        <v>3.0144548903893002E-2</v>
      </c>
      <c r="L43" s="114"/>
    </row>
    <row r="44" spans="8:12" x14ac:dyDescent="0.25">
      <c r="H44" s="138" t="s">
        <v>245</v>
      </c>
      <c r="I44" s="113">
        <v>6.6457919324330705E-2</v>
      </c>
      <c r="J44" s="117">
        <v>7.2581233670242773E-2</v>
      </c>
      <c r="L44" s="114"/>
    </row>
    <row r="45" spans="8:12" ht="15.75" thickBot="1" x14ac:dyDescent="0.3">
      <c r="H45" s="123" t="s">
        <v>247</v>
      </c>
      <c r="I45" s="139">
        <v>4.7500000000000001E-2</v>
      </c>
      <c r="J45" s="140">
        <v>6.8998073488395067E-2</v>
      </c>
      <c r="K45" s="124"/>
      <c r="L45" s="125"/>
    </row>
    <row r="47" spans="8:12" x14ac:dyDescent="0.25">
      <c r="H47" s="76" t="s">
        <v>244</v>
      </c>
      <c r="I47" s="141" cm="1">
        <f t="array" ref="I47:I49">Sensibilidade!C40:C42</f>
        <v>0.135864915117105</v>
      </c>
    </row>
    <row r="48" spans="8:12" x14ac:dyDescent="0.25">
      <c r="H48" s="76" t="s">
        <v>246</v>
      </c>
      <c r="I48" s="141">
        <v>6.7917000000000005E-2</v>
      </c>
    </row>
    <row r="49" spans="8:13" x14ac:dyDescent="0.25">
      <c r="H49" s="76" t="s">
        <v>248</v>
      </c>
      <c r="I49" s="141">
        <v>4.6699999999999998E-2</v>
      </c>
      <c r="M49" s="120"/>
    </row>
    <row r="50" spans="8:13" x14ac:dyDescent="0.25">
      <c r="H50" s="76"/>
      <c r="I50" s="141"/>
      <c r="M50" s="120"/>
    </row>
    <row r="51" spans="8:13" x14ac:dyDescent="0.25">
      <c r="M51" s="120"/>
    </row>
    <row r="52" spans="8:13" x14ac:dyDescent="0.25">
      <c r="H52" t="s">
        <v>275</v>
      </c>
      <c r="I52" t="s">
        <v>278</v>
      </c>
      <c r="J52" t="s">
        <v>279</v>
      </c>
      <c r="K52" t="s">
        <v>280</v>
      </c>
      <c r="M52" s="120"/>
    </row>
    <row r="53" spans="8:13" x14ac:dyDescent="0.25">
      <c r="H53" s="106" t="s">
        <v>243</v>
      </c>
      <c r="I53" s="130">
        <f>+(1+I43)*(1+$I47)-1</f>
        <v>0.16616476854214568</v>
      </c>
      <c r="J53" s="130">
        <f>+(1+J43)*(1+$I47)-1</f>
        <v>0.17010505059906866</v>
      </c>
      <c r="K53" s="130">
        <f>J32/J26</f>
        <v>0.21238133347582835</v>
      </c>
    </row>
    <row r="54" spans="8:13" x14ac:dyDescent="0.25">
      <c r="H54" s="106" t="s">
        <v>245</v>
      </c>
      <c r="I54" s="130">
        <f t="shared" ref="I54:J55" si="0">+(1+I44)*(1+$I48)-1</f>
        <v>0.13888854183108124</v>
      </c>
      <c r="J54" s="130">
        <f t="shared" si="0"/>
        <v>0.14542773331742453</v>
      </c>
      <c r="K54" s="130">
        <f>J33/J26</f>
        <v>0.6592404150039014</v>
      </c>
    </row>
    <row r="55" spans="8:13" x14ac:dyDescent="0.25">
      <c r="H55" t="s">
        <v>247</v>
      </c>
      <c r="I55" s="130">
        <f t="shared" si="0"/>
        <v>9.641825000000015E-2</v>
      </c>
      <c r="J55" s="130">
        <f t="shared" si="0"/>
        <v>0.11892028352030315</v>
      </c>
      <c r="K55" s="130">
        <f>J34/J26</f>
        <v>0.12837825152027024</v>
      </c>
    </row>
    <row r="57" spans="8:13" x14ac:dyDescent="0.25">
      <c r="H57" t="s">
        <v>281</v>
      </c>
      <c r="I57" t="s">
        <v>278</v>
      </c>
      <c r="J57" t="s">
        <v>279</v>
      </c>
    </row>
    <row r="58" spans="8:13" x14ac:dyDescent="0.25">
      <c r="H58" t="s">
        <v>282</v>
      </c>
      <c r="I58" s="130">
        <f>SUMPRODUCT(I53:I55,$K$53:$K$55)</f>
        <v>0.1392292414253363</v>
      </c>
      <c r="J58" s="130">
        <f>SUMPRODUCT(J53:J55,$K$53:$K$55)</f>
        <v>0.14726575481109044</v>
      </c>
    </row>
    <row r="60" spans="8:13" x14ac:dyDescent="0.25">
      <c r="H60" t="s">
        <v>283</v>
      </c>
      <c r="I60" s="127" t="s">
        <v>284</v>
      </c>
      <c r="J60" s="106" t="s">
        <v>219</v>
      </c>
      <c r="K60" t="s">
        <v>285</v>
      </c>
      <c r="L60" t="s">
        <v>286</v>
      </c>
    </row>
    <row r="61" spans="8:13" x14ac:dyDescent="0.25">
      <c r="H61" s="142">
        <f t="shared" ref="H61:H74" si="1">1- I61/$I$36</f>
        <v>1.0558679185113602</v>
      </c>
      <c r="I61" s="128">
        <f>(J61-$I$13)/$I$13</f>
        <v>-0.237873805120419</v>
      </c>
      <c r="J61" s="129">
        <f t="shared" ref="J61:J66" si="2">J62-$I$38</f>
        <v>72</v>
      </c>
      <c r="K61" s="130">
        <f t="shared" ref="K61:K74" si="3">(1+$I$58) * ($H61) - 1</f>
        <v>0.20287560785104564</v>
      </c>
      <c r="L61" s="130">
        <f t="shared" ref="L61:L74" si="4">(1+$J$58) * ($H61) - 1</f>
        <v>0.21136110451175072</v>
      </c>
    </row>
    <row r="62" spans="8:13" x14ac:dyDescent="0.25">
      <c r="H62" s="142">
        <f t="shared" si="1"/>
        <v>1.0508958138778233</v>
      </c>
      <c r="I62" s="128">
        <f t="shared" ref="I62:I74" si="5">(J62-$I$13)/$I$13</f>
        <v>-0.21670363304043064</v>
      </c>
      <c r="J62" s="129">
        <f t="shared" si="2"/>
        <v>74</v>
      </c>
      <c r="K62" s="130">
        <f t="shared" si="3"/>
        <v>0.19721124086109398</v>
      </c>
      <c r="L62" s="130">
        <f t="shared" si="4"/>
        <v>0.20565677913635616</v>
      </c>
    </row>
    <row r="63" spans="8:13" x14ac:dyDescent="0.25">
      <c r="H63" s="142">
        <f t="shared" si="1"/>
        <v>1.0459237092442866</v>
      </c>
      <c r="I63" s="128">
        <f t="shared" si="5"/>
        <v>-0.19553346096044227</v>
      </c>
      <c r="J63" s="129">
        <f t="shared" si="2"/>
        <v>76</v>
      </c>
      <c r="K63" s="130">
        <f t="shared" si="3"/>
        <v>0.19154687387114255</v>
      </c>
      <c r="L63" s="130">
        <f t="shared" si="4"/>
        <v>0.19995245376096205</v>
      </c>
    </row>
    <row r="64" spans="8:13" x14ac:dyDescent="0.25">
      <c r="H64" s="142">
        <f t="shared" si="1"/>
        <v>1.0409516046107499</v>
      </c>
      <c r="I64" s="128">
        <f t="shared" si="5"/>
        <v>-0.17436328888045391</v>
      </c>
      <c r="J64" s="129">
        <f t="shared" si="2"/>
        <v>78</v>
      </c>
      <c r="K64" s="130">
        <f t="shared" si="3"/>
        <v>0.18588250688119112</v>
      </c>
      <c r="L64" s="130">
        <f t="shared" si="4"/>
        <v>0.19424812838556771</v>
      </c>
    </row>
    <row r="65" spans="8:12" x14ac:dyDescent="0.25">
      <c r="H65" s="142">
        <f t="shared" si="1"/>
        <v>1.0359794999772129</v>
      </c>
      <c r="I65" s="128">
        <f t="shared" si="5"/>
        <v>-0.15319311680046555</v>
      </c>
      <c r="J65" s="129">
        <f t="shared" si="2"/>
        <v>80</v>
      </c>
      <c r="K65" s="130">
        <f t="shared" si="3"/>
        <v>0.18021813989123947</v>
      </c>
      <c r="L65" s="130">
        <f t="shared" si="4"/>
        <v>0.18854380301017337</v>
      </c>
    </row>
    <row r="66" spans="8:12" x14ac:dyDescent="0.25">
      <c r="H66" s="142">
        <f t="shared" si="1"/>
        <v>1.0310073953436762</v>
      </c>
      <c r="I66" s="128">
        <f t="shared" si="5"/>
        <v>-0.13202294472047721</v>
      </c>
      <c r="J66" s="129">
        <f t="shared" si="2"/>
        <v>82</v>
      </c>
      <c r="K66" s="130">
        <f t="shared" si="3"/>
        <v>0.17455377290128804</v>
      </c>
      <c r="L66" s="130">
        <f t="shared" si="4"/>
        <v>0.18283947763477904</v>
      </c>
    </row>
    <row r="67" spans="8:12" x14ac:dyDescent="0.25">
      <c r="H67" s="142">
        <f t="shared" si="1"/>
        <v>1.0260352907101393</v>
      </c>
      <c r="I67" s="128">
        <f t="shared" si="5"/>
        <v>-0.11085277264048883</v>
      </c>
      <c r="J67" s="131">
        <f>ROUND(I14*2,0)/2</f>
        <v>84</v>
      </c>
      <c r="K67" s="130">
        <f t="shared" si="3"/>
        <v>0.16888940591133639</v>
      </c>
      <c r="L67" s="130">
        <f t="shared" si="4"/>
        <v>0.1771351522593847</v>
      </c>
    </row>
    <row r="68" spans="8:12" x14ac:dyDescent="0.25">
      <c r="H68" s="142">
        <f t="shared" si="1"/>
        <v>1.0210631860766026</v>
      </c>
      <c r="I68" s="128">
        <f t="shared" si="5"/>
        <v>-8.9682600560500481E-2</v>
      </c>
      <c r="J68" s="129">
        <f t="shared" ref="J68:J74" si="6">J67+$I$38</f>
        <v>86</v>
      </c>
      <c r="K68" s="130">
        <f t="shared" si="3"/>
        <v>0.16322503892138496</v>
      </c>
      <c r="L68" s="130">
        <f t="shared" si="4"/>
        <v>0.17143082688399036</v>
      </c>
    </row>
    <row r="69" spans="8:12" x14ac:dyDescent="0.25">
      <c r="H69" s="142">
        <f t="shared" si="1"/>
        <v>1.0160910814430659</v>
      </c>
      <c r="I69" s="128">
        <f t="shared" si="5"/>
        <v>-6.8512428480512116E-2</v>
      </c>
      <c r="J69" s="129">
        <f t="shared" si="6"/>
        <v>88</v>
      </c>
      <c r="K69" s="130">
        <f t="shared" si="3"/>
        <v>0.15756067193143353</v>
      </c>
      <c r="L69" s="130">
        <f t="shared" si="4"/>
        <v>0.16572650150859625</v>
      </c>
    </row>
    <row r="70" spans="8:12" x14ac:dyDescent="0.25">
      <c r="H70" s="142">
        <f t="shared" si="1"/>
        <v>1.011118976809529</v>
      </c>
      <c r="I70" s="128">
        <f t="shared" si="5"/>
        <v>-4.7342256400523752E-2</v>
      </c>
      <c r="J70" s="129">
        <f t="shared" si="6"/>
        <v>90</v>
      </c>
      <c r="K70" s="130">
        <f t="shared" si="3"/>
        <v>0.15189630494148187</v>
      </c>
      <c r="L70" s="130">
        <f t="shared" si="4"/>
        <v>0.16002217613320191</v>
      </c>
    </row>
    <row r="71" spans="8:12" x14ac:dyDescent="0.25">
      <c r="H71" s="142">
        <f t="shared" si="1"/>
        <v>1.0061468721759923</v>
      </c>
      <c r="I71" s="128">
        <f t="shared" si="5"/>
        <v>-2.6172084320535392E-2</v>
      </c>
      <c r="J71" s="129">
        <f t="shared" si="6"/>
        <v>92</v>
      </c>
      <c r="K71" s="130">
        <f t="shared" si="3"/>
        <v>0.14623193795153044</v>
      </c>
      <c r="L71" s="130">
        <f t="shared" si="4"/>
        <v>0.15431785075780757</v>
      </c>
    </row>
    <row r="72" spans="8:12" x14ac:dyDescent="0.25">
      <c r="H72" s="142">
        <f t="shared" si="1"/>
        <v>1.0011747675424556</v>
      </c>
      <c r="I72" s="128">
        <f t="shared" si="5"/>
        <v>-5.0019122405470292E-3</v>
      </c>
      <c r="J72" s="129">
        <f t="shared" si="6"/>
        <v>94</v>
      </c>
      <c r="K72" s="130">
        <f t="shared" si="3"/>
        <v>0.14056757096157901</v>
      </c>
      <c r="L72" s="130">
        <f t="shared" si="4"/>
        <v>0.14861352538241346</v>
      </c>
    </row>
    <row r="73" spans="8:12" x14ac:dyDescent="0.25">
      <c r="H73" s="142">
        <f t="shared" si="1"/>
        <v>0.99620266290891868</v>
      </c>
      <c r="I73" s="128">
        <f t="shared" si="5"/>
        <v>1.616825983944133E-2</v>
      </c>
      <c r="J73" s="129">
        <f t="shared" si="6"/>
        <v>96</v>
      </c>
      <c r="K73" s="130">
        <f t="shared" si="3"/>
        <v>0.13490320397162736</v>
      </c>
      <c r="L73" s="130">
        <f t="shared" si="4"/>
        <v>0.1429092000070189</v>
      </c>
    </row>
    <row r="74" spans="8:12" x14ac:dyDescent="0.25">
      <c r="H74" s="142">
        <f t="shared" si="1"/>
        <v>0.99123055827538198</v>
      </c>
      <c r="I74" s="128">
        <f t="shared" si="5"/>
        <v>3.733843191942969E-2</v>
      </c>
      <c r="J74" s="129">
        <f t="shared" si="6"/>
        <v>98</v>
      </c>
      <c r="K74" s="130">
        <f t="shared" si="3"/>
        <v>0.12923883698167593</v>
      </c>
      <c r="L74" s="130">
        <f t="shared" si="4"/>
        <v>0.13720487463162478</v>
      </c>
    </row>
    <row r="76" spans="8:12" x14ac:dyDescent="0.25">
      <c r="H76" s="130" t="str" cm="1">
        <f t="array" ref="H76:J90">H60:J74</f>
        <v>Variação ajustada pela Duration</v>
      </c>
      <c r="I76" t="str">
        <v>Variação vs PL</v>
      </c>
      <c r="J76" t="str">
        <v>Preço Mercado</v>
      </c>
      <c r="K76" t="s">
        <v>287</v>
      </c>
      <c r="L76" t="s">
        <v>288</v>
      </c>
    </row>
    <row r="77" spans="8:12" x14ac:dyDescent="0.25">
      <c r="H77" s="130">
        <v>1.0558679185113602</v>
      </c>
      <c r="I77" s="130">
        <v>-0.237873805120419</v>
      </c>
      <c r="J77" s="132">
        <v>72</v>
      </c>
      <c r="K77" s="126">
        <f t="shared" ref="K77:K90" si="7">(1+K61)/(1+$I$47)-1</f>
        <v>5.8995301150781776E-2</v>
      </c>
      <c r="L77" s="126">
        <f t="shared" ref="L77:L90" si="8">(1+K61)/(1+$I$48)-1</f>
        <v>0.12637555900977859</v>
      </c>
    </row>
    <row r="78" spans="8:12" x14ac:dyDescent="0.25">
      <c r="H78" s="130">
        <v>1.0508958138778233</v>
      </c>
      <c r="I78" s="130">
        <v>-0.21670363304043064</v>
      </c>
      <c r="J78" s="132">
        <v>74</v>
      </c>
      <c r="K78" s="126">
        <f t="shared" si="7"/>
        <v>5.4008469605441034E-2</v>
      </c>
      <c r="L78" s="126">
        <f t="shared" si="8"/>
        <v>0.12107143238762363</v>
      </c>
    </row>
    <row r="79" spans="8:12" x14ac:dyDescent="0.25">
      <c r="H79" s="130">
        <v>1.0459237092442866</v>
      </c>
      <c r="I79" s="130">
        <v>-0.19553346096044227</v>
      </c>
      <c r="J79" s="132">
        <v>76</v>
      </c>
      <c r="K79" s="126">
        <f t="shared" si="7"/>
        <v>4.9021638060100514E-2</v>
      </c>
      <c r="L79" s="126">
        <f t="shared" si="8"/>
        <v>0.11576730576546912</v>
      </c>
    </row>
    <row r="80" spans="8:12" x14ac:dyDescent="0.25">
      <c r="H80" s="130">
        <v>1.0409516046107499</v>
      </c>
      <c r="I80" s="130">
        <v>-0.17436328888045391</v>
      </c>
      <c r="J80" s="132">
        <v>78</v>
      </c>
      <c r="K80" s="126">
        <f t="shared" si="7"/>
        <v>4.4034806514760216E-2</v>
      </c>
      <c r="L80" s="126">
        <f t="shared" si="8"/>
        <v>0.1104631791433146</v>
      </c>
    </row>
    <row r="81" spans="8:12" x14ac:dyDescent="0.25">
      <c r="H81" s="130">
        <v>1.0359794999772129</v>
      </c>
      <c r="I81" s="130">
        <v>-0.15319311680046555</v>
      </c>
      <c r="J81" s="132">
        <v>80</v>
      </c>
      <c r="K81" s="126">
        <f t="shared" si="7"/>
        <v>3.9047974969419474E-2</v>
      </c>
      <c r="L81" s="126">
        <f t="shared" si="8"/>
        <v>0.10515905252115987</v>
      </c>
    </row>
    <row r="82" spans="8:12" x14ac:dyDescent="0.25">
      <c r="H82" s="130">
        <v>1.0310073953436762</v>
      </c>
      <c r="I82" s="130">
        <v>-0.13202294472047721</v>
      </c>
      <c r="J82" s="132">
        <v>82</v>
      </c>
      <c r="K82" s="126">
        <f t="shared" si="7"/>
        <v>3.4061143424078955E-2</v>
      </c>
      <c r="L82" s="126">
        <f t="shared" si="8"/>
        <v>9.9854925899005353E-2</v>
      </c>
    </row>
    <row r="83" spans="8:12" x14ac:dyDescent="0.25">
      <c r="H83" s="130">
        <v>1.0260352907101393</v>
      </c>
      <c r="I83" s="130">
        <v>-0.11085277264048883</v>
      </c>
      <c r="J83" s="133">
        <v>84</v>
      </c>
      <c r="K83" s="126">
        <f t="shared" si="7"/>
        <v>2.9074311878738435E-2</v>
      </c>
      <c r="L83" s="126">
        <f t="shared" si="8"/>
        <v>9.4550799276850617E-2</v>
      </c>
    </row>
    <row r="84" spans="8:12" x14ac:dyDescent="0.25">
      <c r="H84" s="130">
        <v>1.0210631860766026</v>
      </c>
      <c r="I84" s="130">
        <v>-8.9682600560500481E-2</v>
      </c>
      <c r="J84" s="132">
        <v>86</v>
      </c>
      <c r="K84" s="126">
        <f t="shared" si="7"/>
        <v>2.4087480333397915E-2</v>
      </c>
      <c r="L84" s="126">
        <f t="shared" si="8"/>
        <v>8.924667265469588E-2</v>
      </c>
    </row>
    <row r="85" spans="8:12" x14ac:dyDescent="0.25">
      <c r="H85" s="130">
        <v>1.0160910814430659</v>
      </c>
      <c r="I85" s="130">
        <v>-6.8512428480512116E-2</v>
      </c>
      <c r="J85" s="132">
        <v>88</v>
      </c>
      <c r="K85" s="126">
        <f t="shared" si="7"/>
        <v>1.9100648788057395E-2</v>
      </c>
      <c r="L85" s="126">
        <f t="shared" si="8"/>
        <v>8.3942546032541365E-2</v>
      </c>
    </row>
    <row r="86" spans="8:12" x14ac:dyDescent="0.25">
      <c r="H86" s="130">
        <v>1.011118976809529</v>
      </c>
      <c r="I86" s="130">
        <v>-4.7342256400523752E-2</v>
      </c>
      <c r="J86" s="132">
        <v>90</v>
      </c>
      <c r="K86" s="126">
        <f t="shared" si="7"/>
        <v>1.4113817242716875E-2</v>
      </c>
      <c r="L86" s="126">
        <f t="shared" si="8"/>
        <v>7.8638419410386629E-2</v>
      </c>
    </row>
    <row r="87" spans="8:12" x14ac:dyDescent="0.25">
      <c r="H87" s="130">
        <v>1.0061468721759923</v>
      </c>
      <c r="I87" s="130">
        <v>-2.6172084320535392E-2</v>
      </c>
      <c r="J87" s="132">
        <v>92</v>
      </c>
      <c r="K87" s="126">
        <f t="shared" si="7"/>
        <v>9.1269856973763552E-3</v>
      </c>
      <c r="L87" s="126">
        <f t="shared" si="8"/>
        <v>7.3334292788232114E-2</v>
      </c>
    </row>
    <row r="88" spans="8:12" x14ac:dyDescent="0.25">
      <c r="H88" s="130">
        <v>1.0011747675424556</v>
      </c>
      <c r="I88" s="130">
        <v>-5.0019122405470292E-3</v>
      </c>
      <c r="J88" s="132">
        <v>94</v>
      </c>
      <c r="K88" s="126">
        <f t="shared" si="7"/>
        <v>4.1401541520360574E-3</v>
      </c>
      <c r="L88" s="126">
        <f t="shared" si="8"/>
        <v>6.8030166166077599E-2</v>
      </c>
    </row>
    <row r="89" spans="8:12" x14ac:dyDescent="0.25">
      <c r="H89" s="130">
        <v>0.99620266290891868</v>
      </c>
      <c r="I89" s="130">
        <v>1.616825983944133E-2</v>
      </c>
      <c r="J89" s="132">
        <v>96</v>
      </c>
      <c r="K89" s="126">
        <f t="shared" si="7"/>
        <v>-8.466773933046845E-4</v>
      </c>
      <c r="L89" s="126">
        <f t="shared" si="8"/>
        <v>6.2726039543922862E-2</v>
      </c>
    </row>
    <row r="90" spans="8:12" x14ac:dyDescent="0.25">
      <c r="H90" s="130">
        <v>0.99123055827538198</v>
      </c>
      <c r="I90" s="130">
        <v>3.733843191942969E-2</v>
      </c>
      <c r="J90" s="132">
        <v>98</v>
      </c>
      <c r="K90" s="126">
        <f t="shared" si="7"/>
        <v>-5.8335089386450933E-3</v>
      </c>
      <c r="L90" s="126">
        <f t="shared" si="8"/>
        <v>5.7421912921768126E-2</v>
      </c>
    </row>
    <row r="92" spans="8:12" x14ac:dyDescent="0.25">
      <c r="H92" t="str" cm="1">
        <f t="array" ref="H92:J106">H60:J74</f>
        <v>Variação ajustada pela Duration</v>
      </c>
      <c r="I92" t="str">
        <v>Variação vs PL</v>
      </c>
      <c r="J92" t="str">
        <v>Preço Mercado</v>
      </c>
      <c r="K92" t="s">
        <v>289</v>
      </c>
      <c r="L92" t="s">
        <v>290</v>
      </c>
    </row>
    <row r="93" spans="8:12" x14ac:dyDescent="0.25">
      <c r="H93" s="130">
        <v>1.0558679185113602</v>
      </c>
      <c r="I93" s="130">
        <v>-0.237873805120419</v>
      </c>
      <c r="J93" s="132">
        <v>72</v>
      </c>
      <c r="K93" s="126">
        <f t="shared" ref="K93:K106" si="9">(1+L61)/(1+$I$47)-1</f>
        <v>6.6465816832508073E-2</v>
      </c>
      <c r="L93" s="126">
        <f t="shared" ref="L93:L106" si="10">(1+L61)/(1+$I$48)-1</f>
        <v>0.13432139811591237</v>
      </c>
    </row>
    <row r="94" spans="8:12" x14ac:dyDescent="0.25">
      <c r="H94" s="130">
        <v>1.0508958138778233</v>
      </c>
      <c r="I94" s="130">
        <v>-0.21670363304043064</v>
      </c>
      <c r="J94" s="132">
        <v>74</v>
      </c>
      <c r="K94" s="126">
        <f t="shared" si="9"/>
        <v>6.1443806468884477E-2</v>
      </c>
      <c r="L94" s="126">
        <f t="shared" si="10"/>
        <v>0.12897985436729265</v>
      </c>
    </row>
    <row r="95" spans="8:12" x14ac:dyDescent="0.25">
      <c r="H95" s="130">
        <v>1.0459237092442866</v>
      </c>
      <c r="I95" s="130">
        <v>-0.19553346096044227</v>
      </c>
      <c r="J95" s="132">
        <v>76</v>
      </c>
      <c r="K95" s="126">
        <f t="shared" si="9"/>
        <v>5.6421796105261102E-2</v>
      </c>
      <c r="L95" s="126">
        <f t="shared" si="10"/>
        <v>0.12363831061867359</v>
      </c>
    </row>
    <row r="96" spans="8:12" x14ac:dyDescent="0.25">
      <c r="H96" s="130">
        <v>1.0409516046107499</v>
      </c>
      <c r="I96" s="130">
        <v>-0.17436328888045391</v>
      </c>
      <c r="J96" s="132">
        <v>78</v>
      </c>
      <c r="K96" s="126">
        <f t="shared" si="9"/>
        <v>5.1399785741637727E-2</v>
      </c>
      <c r="L96" s="126">
        <f t="shared" si="10"/>
        <v>0.1182967668700543</v>
      </c>
    </row>
    <row r="97" spans="8:12" x14ac:dyDescent="0.25">
      <c r="H97" s="130">
        <v>1.0359794999772129</v>
      </c>
      <c r="I97" s="130">
        <v>-0.15319311680046555</v>
      </c>
      <c r="J97" s="132">
        <v>80</v>
      </c>
      <c r="K97" s="126">
        <f t="shared" si="9"/>
        <v>4.6377775378014352E-2</v>
      </c>
      <c r="L97" s="126">
        <f t="shared" si="10"/>
        <v>0.1129552231214348</v>
      </c>
    </row>
    <row r="98" spans="8:12" x14ac:dyDescent="0.25">
      <c r="H98" s="130">
        <v>1.0310073953436762</v>
      </c>
      <c r="I98" s="130">
        <v>-0.13202294472047721</v>
      </c>
      <c r="J98" s="132">
        <v>82</v>
      </c>
      <c r="K98" s="126">
        <f t="shared" si="9"/>
        <v>4.1355765014390977E-2</v>
      </c>
      <c r="L98" s="126">
        <f t="shared" si="10"/>
        <v>0.10761367937281552</v>
      </c>
    </row>
    <row r="99" spans="8:12" x14ac:dyDescent="0.25">
      <c r="H99" s="130">
        <v>1.0260352907101393</v>
      </c>
      <c r="I99" s="130">
        <v>-0.11085277264048883</v>
      </c>
      <c r="J99" s="133">
        <v>84</v>
      </c>
      <c r="K99" s="126">
        <f t="shared" si="9"/>
        <v>3.633375465076738E-2</v>
      </c>
      <c r="L99" s="126">
        <f t="shared" si="10"/>
        <v>0.10227213562419624</v>
      </c>
    </row>
    <row r="100" spans="8:12" x14ac:dyDescent="0.25">
      <c r="H100" s="130">
        <v>1.0210631860766026</v>
      </c>
      <c r="I100" s="130">
        <v>-8.9682600560500481E-2</v>
      </c>
      <c r="J100" s="132">
        <v>86</v>
      </c>
      <c r="K100" s="126">
        <f t="shared" si="9"/>
        <v>3.1311744287144005E-2</v>
      </c>
      <c r="L100" s="126">
        <f t="shared" si="10"/>
        <v>9.6930591875576733E-2</v>
      </c>
    </row>
    <row r="101" spans="8:12" x14ac:dyDescent="0.25">
      <c r="H101" s="130">
        <v>1.0160910814430659</v>
      </c>
      <c r="I101" s="130">
        <v>-6.8512428480512116E-2</v>
      </c>
      <c r="J101" s="132">
        <v>88</v>
      </c>
      <c r="K101" s="126">
        <f t="shared" si="9"/>
        <v>2.6289733923520853E-2</v>
      </c>
      <c r="L101" s="126">
        <f t="shared" si="10"/>
        <v>9.1589048126957673E-2</v>
      </c>
    </row>
    <row r="102" spans="8:12" x14ac:dyDescent="0.25">
      <c r="H102" s="130">
        <v>1.011118976809529</v>
      </c>
      <c r="I102" s="130">
        <v>-4.7342256400523752E-2</v>
      </c>
      <c r="J102" s="132">
        <v>90</v>
      </c>
      <c r="K102" s="126">
        <f t="shared" si="9"/>
        <v>2.1267723559897478E-2</v>
      </c>
      <c r="L102" s="126">
        <f t="shared" si="10"/>
        <v>8.6247504378338391E-2</v>
      </c>
    </row>
    <row r="103" spans="8:12" x14ac:dyDescent="0.25">
      <c r="H103" s="130">
        <v>1.0061468721759923</v>
      </c>
      <c r="I103" s="130">
        <v>-2.6172084320535392E-2</v>
      </c>
      <c r="J103" s="132">
        <v>92</v>
      </c>
      <c r="K103" s="126">
        <f t="shared" si="9"/>
        <v>1.6245713196274103E-2</v>
      </c>
      <c r="L103" s="126">
        <f t="shared" si="10"/>
        <v>8.0905960629718887E-2</v>
      </c>
    </row>
    <row r="104" spans="8:12" x14ac:dyDescent="0.25">
      <c r="H104" s="130">
        <v>1.0011747675424556</v>
      </c>
      <c r="I104" s="130">
        <v>-5.0019122405470292E-3</v>
      </c>
      <c r="J104" s="132">
        <v>94</v>
      </c>
      <c r="K104" s="126">
        <f t="shared" si="9"/>
        <v>1.1223702832650728E-2</v>
      </c>
      <c r="L104" s="126">
        <f t="shared" si="10"/>
        <v>7.5564416881099827E-2</v>
      </c>
    </row>
    <row r="105" spans="8:12" x14ac:dyDescent="0.25">
      <c r="H105" s="130">
        <v>0.99620266290891868</v>
      </c>
      <c r="I105" s="130">
        <v>1.616825983944133E-2</v>
      </c>
      <c r="J105" s="132">
        <v>96</v>
      </c>
      <c r="K105" s="126">
        <f t="shared" si="9"/>
        <v>6.2016924690271313E-3</v>
      </c>
      <c r="L105" s="126">
        <f t="shared" si="10"/>
        <v>7.0222873132480323E-2</v>
      </c>
    </row>
    <row r="106" spans="8:12" x14ac:dyDescent="0.25">
      <c r="H106" s="130">
        <v>0.99123055827538198</v>
      </c>
      <c r="I106" s="130">
        <v>3.733843191942969E-2</v>
      </c>
      <c r="J106" s="132">
        <v>98</v>
      </c>
      <c r="K106" s="126">
        <f t="shared" si="9"/>
        <v>1.1796821054039786E-3</v>
      </c>
      <c r="L106" s="126">
        <f t="shared" si="10"/>
        <v>6.4881329383861042E-2</v>
      </c>
    </row>
    <row r="108" spans="8:12" x14ac:dyDescent="0.25">
      <c r="H108" t="str" cm="1">
        <f t="array" ref="H108:J122">H60:J74</f>
        <v>Variação ajustada pela Duration</v>
      </c>
      <c r="I108" t="str">
        <v>Variação vs PL</v>
      </c>
      <c r="J108" t="str">
        <v>Preço Mercado</v>
      </c>
      <c r="K108" t="s">
        <v>291</v>
      </c>
      <c r="L108" t="s">
        <v>292</v>
      </c>
    </row>
    <row r="109" spans="8:12" x14ac:dyDescent="0.25">
      <c r="H109">
        <v>1.0558679185113602</v>
      </c>
      <c r="I109">
        <v>-0.237873805120419</v>
      </c>
      <c r="J109" s="132">
        <v>72</v>
      </c>
      <c r="K109" s="126">
        <f t="shared" ref="K109:L122" si="11">K93-$I$21</f>
        <v>5.6965816832508072E-2</v>
      </c>
      <c r="L109" s="126">
        <f t="shared" si="11"/>
        <v>0.12482139811591238</v>
      </c>
    </row>
    <row r="110" spans="8:12" x14ac:dyDescent="0.25">
      <c r="H110">
        <v>1.0508958138778233</v>
      </c>
      <c r="I110">
        <v>-0.21670363304043064</v>
      </c>
      <c r="J110" s="132">
        <v>74</v>
      </c>
      <c r="K110" s="126">
        <f t="shared" si="11"/>
        <v>5.1943806468884475E-2</v>
      </c>
      <c r="L110" s="126">
        <f t="shared" si="11"/>
        <v>0.11947985436729265</v>
      </c>
    </row>
    <row r="111" spans="8:12" x14ac:dyDescent="0.25">
      <c r="H111">
        <v>1.0459237092442866</v>
      </c>
      <c r="I111">
        <v>-0.19553346096044227</v>
      </c>
      <c r="J111" s="132">
        <v>76</v>
      </c>
      <c r="K111" s="126">
        <f t="shared" si="11"/>
        <v>4.69217961052611E-2</v>
      </c>
      <c r="L111" s="126">
        <f t="shared" si="11"/>
        <v>0.11413831061867359</v>
      </c>
    </row>
    <row r="112" spans="8:12" x14ac:dyDescent="0.25">
      <c r="H112">
        <v>1.0409516046107499</v>
      </c>
      <c r="I112">
        <v>-0.17436328888045391</v>
      </c>
      <c r="J112" s="132">
        <v>78</v>
      </c>
      <c r="K112" s="126">
        <f t="shared" si="11"/>
        <v>4.1899785741637725E-2</v>
      </c>
      <c r="L112" s="126">
        <f t="shared" si="11"/>
        <v>0.10879676687005431</v>
      </c>
    </row>
    <row r="113" spans="8:12" x14ac:dyDescent="0.25">
      <c r="H113">
        <v>1.0359794999772129</v>
      </c>
      <c r="I113">
        <v>-0.15319311680046555</v>
      </c>
      <c r="J113" s="132">
        <v>80</v>
      </c>
      <c r="K113" s="126">
        <f t="shared" si="11"/>
        <v>3.6877775378014351E-2</v>
      </c>
      <c r="L113" s="126">
        <f t="shared" si="11"/>
        <v>0.10345522312143481</v>
      </c>
    </row>
    <row r="114" spans="8:12" x14ac:dyDescent="0.25">
      <c r="H114">
        <v>1.0310073953436762</v>
      </c>
      <c r="I114">
        <v>-0.13202294472047721</v>
      </c>
      <c r="J114" s="132">
        <v>82</v>
      </c>
      <c r="K114" s="126">
        <f t="shared" si="11"/>
        <v>3.1855765014390976E-2</v>
      </c>
      <c r="L114" s="126">
        <f t="shared" si="11"/>
        <v>9.8113679372815524E-2</v>
      </c>
    </row>
    <row r="115" spans="8:12" x14ac:dyDescent="0.25">
      <c r="H115">
        <v>1.0260352907101393</v>
      </c>
      <c r="I115">
        <v>-0.11085277264048883</v>
      </c>
      <c r="J115" s="132">
        <v>84</v>
      </c>
      <c r="K115" s="126">
        <f t="shared" si="11"/>
        <v>2.6833754650767379E-2</v>
      </c>
      <c r="L115" s="126">
        <f t="shared" si="11"/>
        <v>9.2772135624196242E-2</v>
      </c>
    </row>
    <row r="116" spans="8:12" x14ac:dyDescent="0.25">
      <c r="H116">
        <v>1.0210631860766026</v>
      </c>
      <c r="I116">
        <v>-8.9682600560500481E-2</v>
      </c>
      <c r="J116" s="132">
        <v>86</v>
      </c>
      <c r="K116" s="126">
        <f t="shared" si="11"/>
        <v>2.1811744287144004E-2</v>
      </c>
      <c r="L116" s="126">
        <f t="shared" si="11"/>
        <v>8.7430591875576738E-2</v>
      </c>
    </row>
    <row r="117" spans="8:12" x14ac:dyDescent="0.25">
      <c r="H117">
        <v>1.0160910814430659</v>
      </c>
      <c r="I117">
        <v>-6.8512428480512116E-2</v>
      </c>
      <c r="J117" s="132">
        <v>88</v>
      </c>
      <c r="K117" s="126">
        <f t="shared" si="11"/>
        <v>1.6789733923520851E-2</v>
      </c>
      <c r="L117" s="126">
        <f t="shared" si="11"/>
        <v>8.2089048126957678E-2</v>
      </c>
    </row>
    <row r="118" spans="8:12" x14ac:dyDescent="0.25">
      <c r="H118">
        <v>1.011118976809529</v>
      </c>
      <c r="I118">
        <v>-4.7342256400523752E-2</v>
      </c>
      <c r="J118" s="132">
        <v>90</v>
      </c>
      <c r="K118" s="126">
        <f t="shared" si="11"/>
        <v>1.1767723559897478E-2</v>
      </c>
      <c r="L118" s="126">
        <f t="shared" si="11"/>
        <v>7.6747504378338396E-2</v>
      </c>
    </row>
    <row r="119" spans="8:12" x14ac:dyDescent="0.25">
      <c r="H119">
        <v>1.0061468721759923</v>
      </c>
      <c r="I119">
        <v>-2.6172084320535392E-2</v>
      </c>
      <c r="J119" s="132">
        <v>92</v>
      </c>
      <c r="K119" s="126">
        <f t="shared" si="11"/>
        <v>6.7457131962741033E-3</v>
      </c>
      <c r="L119" s="126">
        <f t="shared" si="11"/>
        <v>7.1405960629718893E-2</v>
      </c>
    </row>
    <row r="120" spans="8:12" x14ac:dyDescent="0.25">
      <c r="H120">
        <v>1.0011747675424556</v>
      </c>
      <c r="I120">
        <v>-5.0019122405470292E-3</v>
      </c>
      <c r="J120" s="132">
        <v>94</v>
      </c>
      <c r="K120" s="126">
        <f t="shared" si="11"/>
        <v>1.7237028326507284E-3</v>
      </c>
      <c r="L120" s="126">
        <f t="shared" si="11"/>
        <v>6.6064416881099833E-2</v>
      </c>
    </row>
    <row r="121" spans="8:12" x14ac:dyDescent="0.25">
      <c r="H121">
        <v>0.99620266290891868</v>
      </c>
      <c r="I121">
        <v>1.616825983944133E-2</v>
      </c>
      <c r="J121" s="132">
        <v>96</v>
      </c>
      <c r="K121" s="126">
        <f t="shared" si="11"/>
        <v>-3.2983075309728684E-3</v>
      </c>
      <c r="L121" s="126">
        <f t="shared" si="11"/>
        <v>6.0722873132480322E-2</v>
      </c>
    </row>
    <row r="122" spans="8:12" x14ac:dyDescent="0.25">
      <c r="H122">
        <v>0.99123055827538198</v>
      </c>
      <c r="I122">
        <v>3.733843191942969E-2</v>
      </c>
      <c r="J122" s="132">
        <v>98</v>
      </c>
      <c r="K122" s="126">
        <f t="shared" si="11"/>
        <v>-8.3203178945960212E-3</v>
      </c>
      <c r="L122" s="126">
        <f t="shared" si="11"/>
        <v>5.538132938386104E-2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477490-447c-40b5-9161-7709cf92fcd6">
      <Terms xmlns="http://schemas.microsoft.com/office/infopath/2007/PartnerControls"/>
    </lcf76f155ced4ddcb4097134ff3c332f>
    <TaxCatchAll xmlns="cde9475b-d5d7-4df4-a7a9-2e86df0fc1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1ED44333645A469AECC2AEEFEE6605" ma:contentTypeVersion="8" ma:contentTypeDescription="Create a new document." ma:contentTypeScope="" ma:versionID="c57305d0da2067c8dda00150bd6a17f6">
  <xsd:schema xmlns:xsd="http://www.w3.org/2001/XMLSchema" xmlns:xs="http://www.w3.org/2001/XMLSchema" xmlns:p="http://schemas.microsoft.com/office/2006/metadata/properties" xmlns:ns2="93477490-447c-40b5-9161-7709cf92fcd6" xmlns:ns3="cde9475b-d5d7-4df4-a7a9-2e86df0fc127" targetNamespace="http://schemas.microsoft.com/office/2006/metadata/properties" ma:root="true" ma:fieldsID="309468a6e40535f5163a25bbdf03cf01" ns2:_="" ns3:_="">
    <xsd:import namespace="93477490-447c-40b5-9161-7709cf92fcd6"/>
    <xsd:import namespace="cde9475b-d5d7-4df4-a7a9-2e86df0fc1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77490-447c-40b5-9161-7709cf92f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225be19-ce8b-4db1-952c-c17f45b27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9475b-d5d7-4df4-a7a9-2e86df0fc1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ab9ab8-476c-4285-853f-ca2e3119f1d5}" ma:internalName="TaxCatchAll" ma:showField="CatchAllData" ma:web="cde9475b-d5d7-4df4-a7a9-2e86df0fc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85E91-0B14-45C5-8336-54FAFFE52F9A}">
  <ds:schemaRefs>
    <ds:schemaRef ds:uri="http://schemas.microsoft.com/office/2006/metadata/properties"/>
    <ds:schemaRef ds:uri="http://schemas.microsoft.com/office/infopath/2007/PartnerControls"/>
    <ds:schemaRef ds:uri="93477490-447c-40b5-9161-7709cf92fcd6"/>
    <ds:schemaRef ds:uri="cde9475b-d5d7-4df4-a7a9-2e86df0fc127"/>
  </ds:schemaRefs>
</ds:datastoreItem>
</file>

<file path=customXml/itemProps2.xml><?xml version="1.0" encoding="utf-8"?>
<ds:datastoreItem xmlns:ds="http://schemas.openxmlformats.org/officeDocument/2006/customXml" ds:itemID="{A707C226-0AA7-4562-9443-34708C429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77490-447c-40b5-9161-7709cf92fcd6"/>
    <ds:schemaRef ds:uri="cde9475b-d5d7-4df4-a7a9-2e86df0fc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595654-AA7E-4E70-81C0-44C5B9284E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Carteira de CRIs</vt:lpstr>
      <vt:lpstr>Resultado HG</vt:lpstr>
      <vt:lpstr>Sensibilidade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Ruza Santos</dc:creator>
  <cp:lastModifiedBy>Thomaz  Assaf Pougy</cp:lastModifiedBy>
  <dcterms:created xsi:type="dcterms:W3CDTF">2021-07-07T18:58:53Z</dcterms:created>
  <dcterms:modified xsi:type="dcterms:W3CDTF">2023-02-27T23:12:00Z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0x0101001F1ED44333645A469AECC2AEEFEE6605</vt:lpwstr>
  </property>
</Properties>
</file>